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5600" windowHeight="7995" tabRatio="889"/>
  </bookViews>
  <sheets>
    <sheet name="PRES-FINAL" sheetId="6" r:id="rId1"/>
    <sheet name="FLUJO DE CAJA" sheetId="10" r:id="rId2"/>
    <sheet name="INGRESO FINANCIERO" sheetId="11" r:id="rId3"/>
    <sheet name="PRESUPUESTO DE VENTAS" sheetId="7" r:id="rId4"/>
    <sheet name="COSTOS DE PAGO DE FLOTA" sheetId="1" r:id="rId5"/>
    <sheet name="GASTOS DE VENTAS" sheetId="5" r:id="rId6"/>
    <sheet name="NOMINAS" sheetId="9" r:id="rId7"/>
    <sheet name="INVENTARIOS" sheetId="3" r:id="rId8"/>
    <sheet name="COSTOS" sheetId="2" state="hidden" r:id="rId9"/>
    <sheet name="P Y G" sheetId="4" state="hidden" r:id="rId10"/>
    <sheet name="costo de mantenimiento de vehic" sheetId="8" r:id="rId11"/>
  </sheets>
  <definedNames>
    <definedName name="_xlnm._FilterDatabase" localSheetId="3" hidden="1">'PRESUPUESTO DE VENTAS'!$A$2:$Y$2</definedName>
    <definedName name="_xlnm.Print_Area" localSheetId="4">'COSTOS DE PAGO DE FLOTA'!$A$1:$Y$56</definedName>
  </definedNames>
  <calcPr calcId="144525"/>
</workbook>
</file>

<file path=xl/calcChain.xml><?xml version="1.0" encoding="utf-8"?>
<calcChain xmlns="http://schemas.openxmlformats.org/spreadsheetml/2006/main">
  <c r="BH10" i="10" l="1"/>
  <c r="BH9" i="10"/>
  <c r="BH8" i="10"/>
  <c r="BH7" i="10"/>
  <c r="BF6" i="10"/>
  <c r="BF5" i="10"/>
  <c r="BC10" i="10"/>
  <c r="BC9" i="10"/>
  <c r="BC8" i="10"/>
  <c r="BC7" i="10"/>
  <c r="BA6" i="10"/>
  <c r="BA5" i="10"/>
  <c r="AX10" i="10"/>
  <c r="AX9" i="10"/>
  <c r="AX8" i="10"/>
  <c r="AX7" i="10"/>
  <c r="AV6" i="10"/>
  <c r="AV5" i="10"/>
  <c r="AS8" i="10"/>
  <c r="AS10" i="10"/>
  <c r="AS9" i="10"/>
  <c r="AS7" i="10"/>
  <c r="AQ6" i="10"/>
  <c r="AQ5" i="10"/>
  <c r="AN10" i="10"/>
  <c r="AN9" i="10"/>
  <c r="AN8" i="10"/>
  <c r="AN7" i="10"/>
  <c r="AL6" i="10"/>
  <c r="AL5" i="10"/>
  <c r="AL13" i="10" s="1"/>
  <c r="AI10" i="10"/>
  <c r="AI9" i="10"/>
  <c r="AI8" i="10"/>
  <c r="AI7" i="10"/>
  <c r="AG6" i="10"/>
  <c r="AG5" i="10"/>
  <c r="AD10" i="10"/>
  <c r="AD9" i="10"/>
  <c r="AD8" i="10"/>
  <c r="AD7" i="10"/>
  <c r="AB6" i="10"/>
  <c r="AB13" i="10" s="1"/>
  <c r="AB5" i="10"/>
  <c r="Y10" i="10"/>
  <c r="Y9" i="10"/>
  <c r="Y14" i="10" s="1"/>
  <c r="Y7" i="10"/>
  <c r="W6" i="10"/>
  <c r="W5" i="10"/>
  <c r="T7" i="10"/>
  <c r="R5" i="10"/>
  <c r="R6" i="10"/>
  <c r="M6" i="10"/>
  <c r="M13" i="10" s="1"/>
  <c r="Y8" i="10"/>
  <c r="T8" i="10"/>
  <c r="O7" i="10"/>
  <c r="O14" i="10" s="1"/>
  <c r="M5" i="10"/>
  <c r="T10" i="10"/>
  <c r="T9" i="10"/>
  <c r="O10" i="10"/>
  <c r="O9" i="10"/>
  <c r="O8" i="10"/>
  <c r="H5" i="10"/>
  <c r="G48" i="6"/>
  <c r="J14" i="10"/>
  <c r="R62" i="6"/>
  <c r="Q48" i="6"/>
  <c r="P48" i="6"/>
  <c r="O48" i="6"/>
  <c r="N48" i="6"/>
  <c r="M48" i="6"/>
  <c r="L48" i="6"/>
  <c r="K48" i="6"/>
  <c r="J48" i="6"/>
  <c r="I48" i="6"/>
  <c r="H48" i="6"/>
  <c r="F48" i="6"/>
  <c r="J8" i="10"/>
  <c r="R70" i="6"/>
  <c r="E8" i="10"/>
  <c r="BH14" i="10" l="1"/>
  <c r="BF13" i="10"/>
  <c r="BG15" i="10" s="1"/>
  <c r="BC14" i="10"/>
  <c r="BA13" i="10"/>
  <c r="AX14" i="10"/>
  <c r="AV13" i="10"/>
  <c r="AS14" i="10"/>
  <c r="AQ13" i="10"/>
  <c r="AN14" i="10"/>
  <c r="AM15" i="10" s="1"/>
  <c r="AI14" i="10"/>
  <c r="AG13" i="10"/>
  <c r="AD14" i="10"/>
  <c r="AC15" i="10" s="1"/>
  <c r="W13" i="10"/>
  <c r="X15" i="10" s="1"/>
  <c r="R13" i="10"/>
  <c r="T14" i="10"/>
  <c r="AR15" i="10"/>
  <c r="N15" i="10"/>
  <c r="E10" i="10"/>
  <c r="E9" i="10"/>
  <c r="J9" i="10"/>
  <c r="J7" i="10"/>
  <c r="BB15" i="10" l="1"/>
  <c r="AW15" i="10"/>
  <c r="AH15" i="10"/>
  <c r="S15" i="10"/>
  <c r="F61" i="6"/>
  <c r="A5" i="11"/>
  <c r="F57" i="6"/>
  <c r="Q57" i="6"/>
  <c r="P57" i="6"/>
  <c r="O57" i="6"/>
  <c r="N57" i="6"/>
  <c r="M57" i="6"/>
  <c r="L57" i="6"/>
  <c r="K57" i="6"/>
  <c r="J57" i="6"/>
  <c r="I57" i="6"/>
  <c r="H57" i="6"/>
  <c r="G57" i="6"/>
  <c r="I29" i="9" l="1"/>
  <c r="Y39" i="1"/>
  <c r="W39" i="1"/>
  <c r="U39" i="1"/>
  <c r="S39" i="1"/>
  <c r="Q39" i="1"/>
  <c r="O39" i="1"/>
  <c r="M39" i="1"/>
  <c r="K39" i="1"/>
  <c r="I39" i="1"/>
  <c r="G39" i="1"/>
  <c r="E39" i="1"/>
  <c r="W23" i="1"/>
  <c r="W24" i="1" s="1"/>
  <c r="W26" i="1" s="1"/>
  <c r="S23" i="1"/>
  <c r="S24" i="1" s="1"/>
  <c r="S26" i="1" s="1"/>
  <c r="O23" i="1"/>
  <c r="O24" i="1" s="1"/>
  <c r="O26" i="1" s="1"/>
  <c r="C23" i="1"/>
  <c r="C24" i="1" s="1"/>
  <c r="C26" i="1" s="1"/>
  <c r="Y24" i="7"/>
  <c r="Y26" i="7" s="1"/>
  <c r="W24" i="7"/>
  <c r="W26" i="7" s="1"/>
  <c r="U24" i="7"/>
  <c r="U26" i="7" s="1"/>
  <c r="S24" i="7"/>
  <c r="S26" i="7" s="1"/>
  <c r="Q24" i="7"/>
  <c r="Q26" i="7" s="1"/>
  <c r="O24" i="7"/>
  <c r="O26" i="7" s="1"/>
  <c r="M24" i="7"/>
  <c r="M26" i="7" s="1"/>
  <c r="K24" i="7"/>
  <c r="K26" i="7" s="1"/>
  <c r="I24" i="7"/>
  <c r="I26" i="7" s="1"/>
  <c r="G24" i="7"/>
  <c r="G26" i="7" s="1"/>
  <c r="E24" i="7"/>
  <c r="E26" i="7" s="1"/>
  <c r="C24" i="7"/>
  <c r="C26" i="7" s="1"/>
  <c r="Y17" i="1"/>
  <c r="Y29" i="1" s="1"/>
  <c r="Y11" i="1"/>
  <c r="Y12" i="1" s="1"/>
  <c r="Y14" i="1" s="1"/>
  <c r="Y6" i="1"/>
  <c r="Y8" i="1" s="1"/>
  <c r="W29" i="1"/>
  <c r="W30" i="1" s="1"/>
  <c r="W32" i="1" s="1"/>
  <c r="W17" i="1"/>
  <c r="W18" i="1" s="1"/>
  <c r="W20" i="1" s="1"/>
  <c r="W11" i="1"/>
  <c r="W12" i="1" s="1"/>
  <c r="W14" i="1" s="1"/>
  <c r="W6" i="1"/>
  <c r="W8" i="1" s="1"/>
  <c r="U18" i="1"/>
  <c r="U20" i="1" s="1"/>
  <c r="U17" i="1"/>
  <c r="U29" i="1" s="1"/>
  <c r="U30" i="1" s="1"/>
  <c r="U32" i="1" s="1"/>
  <c r="U11" i="1"/>
  <c r="U12" i="1" s="1"/>
  <c r="U14" i="1" s="1"/>
  <c r="U6" i="1"/>
  <c r="U8" i="1" s="1"/>
  <c r="S17" i="1"/>
  <c r="S18" i="1" s="1"/>
  <c r="S20" i="1" s="1"/>
  <c r="S11" i="1"/>
  <c r="S12" i="1" s="1"/>
  <c r="S14" i="1" s="1"/>
  <c r="S6" i="1"/>
  <c r="S8" i="1" s="1"/>
  <c r="Q18" i="1"/>
  <c r="Q20" i="1" s="1"/>
  <c r="Q17" i="1"/>
  <c r="Q29" i="1" s="1"/>
  <c r="Q30" i="1" s="1"/>
  <c r="Q32" i="1" s="1"/>
  <c r="Q11" i="1"/>
  <c r="Q12" i="1" s="1"/>
  <c r="Q14" i="1" s="1"/>
  <c r="Q6" i="1"/>
  <c r="Q8" i="1" s="1"/>
  <c r="O17" i="1"/>
  <c r="O29" i="1" s="1"/>
  <c r="O11" i="1"/>
  <c r="O12" i="1" s="1"/>
  <c r="O14" i="1" s="1"/>
  <c r="O8" i="1"/>
  <c r="O6" i="1"/>
  <c r="M29" i="1"/>
  <c r="M30" i="1" s="1"/>
  <c r="M32" i="1" s="1"/>
  <c r="M17" i="1"/>
  <c r="M18" i="1" s="1"/>
  <c r="M20" i="1" s="1"/>
  <c r="M11" i="1"/>
  <c r="M12" i="1" s="1"/>
  <c r="M14" i="1" s="1"/>
  <c r="M6" i="1"/>
  <c r="M8" i="1" s="1"/>
  <c r="K29" i="1"/>
  <c r="K30" i="1" s="1"/>
  <c r="K32" i="1" s="1"/>
  <c r="K18" i="1"/>
  <c r="K20" i="1" s="1"/>
  <c r="K17" i="1"/>
  <c r="K11" i="1"/>
  <c r="K12" i="1" s="1"/>
  <c r="K14" i="1" s="1"/>
  <c r="K6" i="1"/>
  <c r="K8" i="1" s="1"/>
  <c r="I29" i="1"/>
  <c r="I30" i="1" s="1"/>
  <c r="I32" i="1" s="1"/>
  <c r="I17" i="1"/>
  <c r="I18" i="1" s="1"/>
  <c r="I20" i="1" s="1"/>
  <c r="I11" i="1"/>
  <c r="I12" i="1" s="1"/>
  <c r="I14" i="1" s="1"/>
  <c r="I6" i="1"/>
  <c r="I8" i="1" s="1"/>
  <c r="G18" i="1"/>
  <c r="G20" i="1" s="1"/>
  <c r="G17" i="1"/>
  <c r="G29" i="1" s="1"/>
  <c r="G11" i="1"/>
  <c r="G12" i="1" s="1"/>
  <c r="G14" i="1" s="1"/>
  <c r="G6" i="1"/>
  <c r="G8" i="1" s="1"/>
  <c r="E29" i="1"/>
  <c r="E35" i="1" s="1"/>
  <c r="E36" i="1" s="1"/>
  <c r="E38" i="1" s="1"/>
  <c r="E17" i="1"/>
  <c r="E18" i="1" s="1"/>
  <c r="E20" i="1" s="1"/>
  <c r="E11" i="1"/>
  <c r="E12" i="1" s="1"/>
  <c r="E14" i="1" s="1"/>
  <c r="E6" i="1"/>
  <c r="E8" i="1" s="1"/>
  <c r="C17" i="1"/>
  <c r="C29" i="1" s="1"/>
  <c r="C35" i="1" s="1"/>
  <c r="C11" i="1"/>
  <c r="G61" i="6"/>
  <c r="H61" i="6" s="1"/>
  <c r="I61" i="6" s="1"/>
  <c r="G30" i="1" l="1"/>
  <c r="G32" i="1" s="1"/>
  <c r="G35" i="1"/>
  <c r="G36" i="1" s="1"/>
  <c r="G38" i="1" s="1"/>
  <c r="S29" i="1"/>
  <c r="S30" i="1" s="1"/>
  <c r="S32" i="1" s="1"/>
  <c r="K23" i="1"/>
  <c r="K24" i="1" s="1"/>
  <c r="K26" i="1" s="1"/>
  <c r="E23" i="1"/>
  <c r="E24" i="1" s="1"/>
  <c r="E26" i="1" s="1"/>
  <c r="M23" i="1"/>
  <c r="M24" i="1" s="1"/>
  <c r="M26" i="1" s="1"/>
  <c r="U23" i="1"/>
  <c r="U24" i="1" s="1"/>
  <c r="U26" i="1" s="1"/>
  <c r="G23" i="1"/>
  <c r="G24" i="1" s="1"/>
  <c r="G26" i="1" s="1"/>
  <c r="W35" i="1"/>
  <c r="W36" i="1" s="1"/>
  <c r="W38" i="1" s="1"/>
  <c r="I23" i="1"/>
  <c r="I24" i="1" s="1"/>
  <c r="I26" i="1" s="1"/>
  <c r="Q23" i="1"/>
  <c r="Q24" i="1" s="1"/>
  <c r="Q26" i="1" s="1"/>
  <c r="Y23" i="1"/>
  <c r="Y24" i="1" s="1"/>
  <c r="Y26" i="1" s="1"/>
  <c r="Y30" i="1"/>
  <c r="Y32" i="1" s="1"/>
  <c r="Y35" i="1"/>
  <c r="Y36" i="1" s="1"/>
  <c r="Y38" i="1" s="1"/>
  <c r="Y18" i="1"/>
  <c r="Y20" i="1" s="1"/>
  <c r="U35" i="1"/>
  <c r="U36" i="1" s="1"/>
  <c r="U38" i="1" s="1"/>
  <c r="Q35" i="1"/>
  <c r="Q36" i="1" s="1"/>
  <c r="Q38" i="1" s="1"/>
  <c r="O35" i="1"/>
  <c r="O36" i="1" s="1"/>
  <c r="O38" i="1" s="1"/>
  <c r="O30" i="1"/>
  <c r="O32" i="1" s="1"/>
  <c r="O18" i="1"/>
  <c r="O20" i="1" s="1"/>
  <c r="M35" i="1"/>
  <c r="M36" i="1" s="1"/>
  <c r="M38" i="1" s="1"/>
  <c r="K35" i="1"/>
  <c r="K36" i="1" s="1"/>
  <c r="K38" i="1" s="1"/>
  <c r="I35" i="1"/>
  <c r="I36" i="1" s="1"/>
  <c r="I38" i="1" s="1"/>
  <c r="E30" i="1"/>
  <c r="E32" i="1" s="1"/>
  <c r="J61" i="6"/>
  <c r="K61" i="6" s="1"/>
  <c r="L61" i="6" s="1"/>
  <c r="M61" i="6" s="1"/>
  <c r="N61" i="6" s="1"/>
  <c r="O61" i="6" s="1"/>
  <c r="P61" i="6" s="1"/>
  <c r="Q61" i="6" s="1"/>
  <c r="R61" i="6"/>
  <c r="B9" i="2"/>
  <c r="B7" i="2"/>
  <c r="R59" i="6"/>
  <c r="B6" i="2"/>
  <c r="B5" i="2"/>
  <c r="I27" i="3"/>
  <c r="D27" i="3"/>
  <c r="I26" i="3"/>
  <c r="D26" i="3"/>
  <c r="S35" i="1" l="1"/>
  <c r="S36" i="1" s="1"/>
  <c r="S38" i="1" s="1"/>
  <c r="E62" i="7"/>
  <c r="E61" i="7"/>
  <c r="E60" i="7"/>
  <c r="E59" i="7"/>
  <c r="E58" i="7"/>
  <c r="E56" i="7"/>
  <c r="R57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R53" i="6"/>
  <c r="F53" i="6"/>
  <c r="R51" i="6"/>
  <c r="Q51" i="6"/>
  <c r="G51" i="6"/>
  <c r="H51" i="6"/>
  <c r="I51" i="6"/>
  <c r="J51" i="6"/>
  <c r="K51" i="6"/>
  <c r="L51" i="6"/>
  <c r="M51" i="6"/>
  <c r="N51" i="6"/>
  <c r="O51" i="6"/>
  <c r="P51" i="6"/>
  <c r="F51" i="6"/>
  <c r="R50" i="6" l="1"/>
  <c r="D19" i="3"/>
  <c r="R54" i="6"/>
  <c r="R60" i="6"/>
  <c r="R58" i="6"/>
  <c r="Q49" i="6"/>
  <c r="Q56" i="6" s="1"/>
  <c r="P49" i="6"/>
  <c r="P56" i="6" s="1"/>
  <c r="O49" i="6"/>
  <c r="O56" i="6" s="1"/>
  <c r="N49" i="6"/>
  <c r="N56" i="6" s="1"/>
  <c r="M49" i="6"/>
  <c r="M56" i="6" s="1"/>
  <c r="L49" i="6"/>
  <c r="L56" i="6" s="1"/>
  <c r="K49" i="6"/>
  <c r="K56" i="6" s="1"/>
  <c r="J49" i="6"/>
  <c r="J56" i="6" s="1"/>
  <c r="I49" i="6"/>
  <c r="I56" i="6" s="1"/>
  <c r="H49" i="6"/>
  <c r="H56" i="6" s="1"/>
  <c r="G49" i="6"/>
  <c r="G56" i="6" s="1"/>
  <c r="F49" i="6"/>
  <c r="F56" i="6" s="1"/>
  <c r="G26" i="9"/>
  <c r="J20" i="9"/>
  <c r="I20" i="9"/>
  <c r="H20" i="9"/>
  <c r="G11" i="9"/>
  <c r="F11" i="9"/>
  <c r="M11" i="9" s="1"/>
  <c r="C11" i="9"/>
  <c r="G10" i="9"/>
  <c r="F10" i="9"/>
  <c r="M10" i="9" s="1"/>
  <c r="C10" i="9"/>
  <c r="G9" i="9"/>
  <c r="F9" i="9"/>
  <c r="M9" i="9" s="1"/>
  <c r="C9" i="9"/>
  <c r="G8" i="9"/>
  <c r="F8" i="9"/>
  <c r="M8" i="9" s="1"/>
  <c r="C8" i="9"/>
  <c r="O7" i="9"/>
  <c r="O20" i="9" s="1"/>
  <c r="M7" i="9"/>
  <c r="G7" i="9"/>
  <c r="L7" i="9" s="1"/>
  <c r="F7" i="9"/>
  <c r="N7" i="9" s="1"/>
  <c r="P7" i="9" s="1"/>
  <c r="C7" i="9"/>
  <c r="K6" i="9"/>
  <c r="K20" i="9" s="1"/>
  <c r="I6" i="9"/>
  <c r="F6" i="9"/>
  <c r="F20" i="9" s="1"/>
  <c r="C6" i="9"/>
  <c r="G6" i="9" s="1"/>
  <c r="G20" i="9" s="1"/>
  <c r="E1" i="9"/>
  <c r="R56" i="6" l="1"/>
  <c r="E64" i="7" s="1"/>
  <c r="R49" i="6"/>
  <c r="Q7" i="9"/>
  <c r="P8" i="9"/>
  <c r="P11" i="9"/>
  <c r="B25" i="9"/>
  <c r="C37" i="9"/>
  <c r="C35" i="9"/>
  <c r="B30" i="9"/>
  <c r="B28" i="9"/>
  <c r="C36" i="9"/>
  <c r="C34" i="9"/>
  <c r="H29" i="9" s="1"/>
  <c r="B29" i="9"/>
  <c r="N8" i="9"/>
  <c r="N9" i="9"/>
  <c r="P9" i="9" s="1"/>
  <c r="N10" i="9"/>
  <c r="P10" i="9" s="1"/>
  <c r="N11" i="9"/>
  <c r="L6" i="9"/>
  <c r="M6" i="9"/>
  <c r="L8" i="9"/>
  <c r="Q8" i="9" s="1"/>
  <c r="L9" i="9"/>
  <c r="L10" i="9"/>
  <c r="L11" i="9"/>
  <c r="N6" i="9"/>
  <c r="N20" i="9" s="1"/>
  <c r="Q11" i="9" l="1"/>
  <c r="M20" i="9"/>
  <c r="P6" i="9"/>
  <c r="P20" i="9" s="1"/>
  <c r="Q10" i="9"/>
  <c r="L20" i="9"/>
  <c r="G25" i="9" s="1"/>
  <c r="G31" i="9" s="1"/>
  <c r="G32" i="9" s="1"/>
  <c r="H33" i="9" s="1"/>
  <c r="Q9" i="9"/>
  <c r="G28" i="9"/>
  <c r="G30" i="9"/>
  <c r="B32" i="9"/>
  <c r="H34" i="9" l="1"/>
  <c r="H35" i="9" s="1"/>
  <c r="Q6" i="9"/>
  <c r="Q20" i="9" s="1"/>
  <c r="H36" i="9" l="1"/>
  <c r="H37" i="9" s="1"/>
  <c r="H39" i="9" s="1"/>
  <c r="E57" i="7" s="1"/>
  <c r="R55" i="6" l="1"/>
  <c r="E63" i="7" s="1"/>
  <c r="E65" i="7" s="1"/>
  <c r="F27" i="8"/>
  <c r="F26" i="8"/>
  <c r="F25" i="8" l="1"/>
  <c r="H24" i="8"/>
  <c r="J21" i="8"/>
  <c r="I23" i="8"/>
  <c r="J23" i="8" s="1"/>
  <c r="I28" i="8"/>
  <c r="J28" i="8" s="1"/>
  <c r="H27" i="8"/>
  <c r="I27" i="8" s="1"/>
  <c r="J27" i="8" s="1"/>
  <c r="H26" i="8"/>
  <c r="I26" i="8" s="1"/>
  <c r="J26" i="8" s="1"/>
  <c r="H25" i="8"/>
  <c r="I25" i="8" s="1"/>
  <c r="J25" i="8" s="1"/>
  <c r="I24" i="8"/>
  <c r="J24" i="8" s="1"/>
  <c r="H20" i="8"/>
  <c r="I20" i="8" s="1"/>
  <c r="J20" i="8" s="1"/>
  <c r="H19" i="8"/>
  <c r="I19" i="8" s="1"/>
  <c r="J19" i="8" s="1"/>
  <c r="H18" i="8"/>
  <c r="I18" i="8" s="1"/>
  <c r="J18" i="8" s="1"/>
  <c r="H17" i="8"/>
  <c r="I17" i="8" s="1"/>
  <c r="J17" i="8" s="1"/>
  <c r="H16" i="8"/>
  <c r="I16" i="8" s="1"/>
  <c r="J16" i="8" s="1"/>
  <c r="H15" i="8"/>
  <c r="I15" i="8" s="1"/>
  <c r="J15" i="8" s="1"/>
  <c r="H14" i="8"/>
  <c r="I14" i="8" s="1"/>
  <c r="J14" i="8" s="1"/>
  <c r="H12" i="8"/>
  <c r="I12" i="8" s="1"/>
  <c r="J12" i="8" s="1"/>
  <c r="H11" i="8"/>
  <c r="I11" i="8" s="1"/>
  <c r="J11" i="8" s="1"/>
  <c r="H10" i="8"/>
  <c r="I10" i="8" s="1"/>
  <c r="J10" i="8" s="1"/>
  <c r="H9" i="8"/>
  <c r="I9" i="8" s="1"/>
  <c r="J9" i="8" s="1"/>
  <c r="H8" i="8"/>
  <c r="I8" i="8" s="1"/>
  <c r="J8" i="8" s="1"/>
  <c r="H7" i="8"/>
  <c r="I7" i="8" s="1"/>
  <c r="J7" i="8" s="1"/>
  <c r="H6" i="8"/>
  <c r="I6" i="8" s="1"/>
  <c r="J6" i="8" s="1"/>
  <c r="H5" i="8"/>
  <c r="I5" i="8" s="1"/>
  <c r="J5" i="8" s="1"/>
  <c r="H4" i="8"/>
  <c r="I4" i="8" s="1"/>
  <c r="G27" i="8"/>
  <c r="G26" i="8"/>
  <c r="G25" i="8"/>
  <c r="G24" i="8"/>
  <c r="G23" i="8"/>
  <c r="G20" i="8"/>
  <c r="G19" i="8"/>
  <c r="G18" i="8"/>
  <c r="G17" i="8"/>
  <c r="G16" i="8"/>
  <c r="G15" i="8"/>
  <c r="G14" i="8"/>
  <c r="G12" i="8"/>
  <c r="G11" i="8"/>
  <c r="G10" i="8"/>
  <c r="G9" i="8"/>
  <c r="G8" i="8"/>
  <c r="G7" i="8"/>
  <c r="G6" i="8"/>
  <c r="G5" i="8"/>
  <c r="G4" i="8"/>
  <c r="F22" i="8"/>
  <c r="H22" i="8" s="1"/>
  <c r="I22" i="8" s="1"/>
  <c r="J22" i="8" s="1"/>
  <c r="F13" i="8"/>
  <c r="F29" i="8" l="1"/>
  <c r="F55" i="6" s="1"/>
  <c r="G55" i="6" s="1"/>
  <c r="H55" i="6" s="1"/>
  <c r="I55" i="6" s="1"/>
  <c r="J55" i="6" s="1"/>
  <c r="K55" i="6" s="1"/>
  <c r="L55" i="6" s="1"/>
  <c r="M55" i="6" s="1"/>
  <c r="N55" i="6" s="1"/>
  <c r="O55" i="6" s="1"/>
  <c r="P55" i="6" s="1"/>
  <c r="Q55" i="6" s="1"/>
  <c r="G13" i="8"/>
  <c r="G22" i="8"/>
  <c r="H13" i="8"/>
  <c r="I13" i="8" s="1"/>
  <c r="J13" i="8" s="1"/>
  <c r="J4" i="8"/>
  <c r="G29" i="8" l="1"/>
  <c r="H29" i="8"/>
  <c r="J29" i="8"/>
  <c r="I29" i="8"/>
  <c r="D20" i="3"/>
  <c r="D23" i="3" s="1"/>
  <c r="D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F39" i="6"/>
  <c r="R39" i="6" s="1"/>
  <c r="C10" i="5"/>
  <c r="I23" i="3" l="1"/>
  <c r="C11" i="5" l="1"/>
  <c r="C36" i="1"/>
  <c r="C38" i="1" s="1"/>
  <c r="C39" i="1" s="1"/>
  <c r="C30" i="1"/>
  <c r="C32" i="1" s="1"/>
  <c r="C18" i="1"/>
  <c r="C20" i="1" s="1"/>
  <c r="C12" i="1"/>
  <c r="C14" i="1" s="1"/>
  <c r="C6" i="1"/>
  <c r="C8" i="1" s="1"/>
  <c r="Y36" i="7"/>
  <c r="Y38" i="7" s="1"/>
  <c r="Y39" i="7" s="1"/>
  <c r="Y30" i="7"/>
  <c r="Y32" i="7" s="1"/>
  <c r="Y18" i="7"/>
  <c r="Y20" i="7" s="1"/>
  <c r="Y12" i="7"/>
  <c r="Y14" i="7" s="1"/>
  <c r="Y6" i="7"/>
  <c r="Y8" i="7" s="1"/>
  <c r="W36" i="7"/>
  <c r="W38" i="7" s="1"/>
  <c r="W39" i="7" s="1"/>
  <c r="W30" i="7"/>
  <c r="W32" i="7" s="1"/>
  <c r="W18" i="7"/>
  <c r="W20" i="7" s="1"/>
  <c r="W12" i="7"/>
  <c r="W14" i="7" s="1"/>
  <c r="W6" i="7"/>
  <c r="W8" i="7" s="1"/>
  <c r="U36" i="7"/>
  <c r="U38" i="7" s="1"/>
  <c r="U39" i="7" s="1"/>
  <c r="U30" i="7"/>
  <c r="U32" i="7" s="1"/>
  <c r="U18" i="7"/>
  <c r="U20" i="7" s="1"/>
  <c r="U12" i="7"/>
  <c r="U14" i="7" s="1"/>
  <c r="U6" i="7"/>
  <c r="U8" i="7" s="1"/>
  <c r="S36" i="7"/>
  <c r="S38" i="7" s="1"/>
  <c r="S39" i="7" s="1"/>
  <c r="S30" i="7"/>
  <c r="S32" i="7" s="1"/>
  <c r="S18" i="7"/>
  <c r="S20" i="7" s="1"/>
  <c r="S12" i="7"/>
  <c r="S14" i="7" s="1"/>
  <c r="S6" i="7"/>
  <c r="S8" i="7" s="1"/>
  <c r="Q36" i="7"/>
  <c r="Q38" i="7" s="1"/>
  <c r="Q39" i="7" s="1"/>
  <c r="Q30" i="7"/>
  <c r="Q32" i="7" s="1"/>
  <c r="Q18" i="7"/>
  <c r="Q20" i="7" s="1"/>
  <c r="Q12" i="7"/>
  <c r="Q14" i="7" s="1"/>
  <c r="Q6" i="7"/>
  <c r="Q8" i="7" s="1"/>
  <c r="O36" i="7"/>
  <c r="O38" i="7" s="1"/>
  <c r="O39" i="7" s="1"/>
  <c r="O30" i="7"/>
  <c r="O32" i="7" s="1"/>
  <c r="O18" i="7"/>
  <c r="O20" i="7" s="1"/>
  <c r="O12" i="7"/>
  <c r="O14" i="7" s="1"/>
  <c r="O6" i="7"/>
  <c r="O8" i="7" s="1"/>
  <c r="M36" i="7"/>
  <c r="M38" i="7" s="1"/>
  <c r="M39" i="7" s="1"/>
  <c r="M30" i="7"/>
  <c r="M32" i="7" s="1"/>
  <c r="M18" i="7"/>
  <c r="M20" i="7" s="1"/>
  <c r="M12" i="7"/>
  <c r="M14" i="7" s="1"/>
  <c r="M6" i="7"/>
  <c r="M8" i="7" s="1"/>
  <c r="K36" i="7"/>
  <c r="K38" i="7" s="1"/>
  <c r="K39" i="7" s="1"/>
  <c r="K30" i="7"/>
  <c r="K32" i="7" s="1"/>
  <c r="K18" i="7"/>
  <c r="K20" i="7" s="1"/>
  <c r="K12" i="7"/>
  <c r="K14" i="7" s="1"/>
  <c r="K6" i="7"/>
  <c r="K8" i="7" s="1"/>
  <c r="I36" i="7"/>
  <c r="I38" i="7" s="1"/>
  <c r="I39" i="7" s="1"/>
  <c r="I30" i="7"/>
  <c r="I32" i="7" s="1"/>
  <c r="I18" i="7"/>
  <c r="I20" i="7" s="1"/>
  <c r="I12" i="7"/>
  <c r="I14" i="7" s="1"/>
  <c r="I6" i="7"/>
  <c r="I8" i="7" s="1"/>
  <c r="G36" i="7"/>
  <c r="G38" i="7" s="1"/>
  <c r="G39" i="7" s="1"/>
  <c r="G30" i="7"/>
  <c r="G32" i="7" s="1"/>
  <c r="G18" i="7"/>
  <c r="G20" i="7" s="1"/>
  <c r="G12" i="7"/>
  <c r="G14" i="7" s="1"/>
  <c r="G6" i="7"/>
  <c r="G8" i="7" s="1"/>
  <c r="E36" i="7"/>
  <c r="E38" i="7" s="1"/>
  <c r="E39" i="7" s="1"/>
  <c r="E30" i="7"/>
  <c r="E32" i="7" s="1"/>
  <c r="E18" i="7"/>
  <c r="E20" i="7" s="1"/>
  <c r="E12" i="7"/>
  <c r="E14" i="7" s="1"/>
  <c r="E6" i="7"/>
  <c r="E8" i="7" s="1"/>
  <c r="C36" i="7"/>
  <c r="C38" i="7" s="1"/>
  <c r="C39" i="7" s="1"/>
  <c r="C30" i="7"/>
  <c r="C32" i="7" s="1"/>
  <c r="C18" i="7"/>
  <c r="C20" i="7" s="1"/>
  <c r="C12" i="7"/>
  <c r="C14" i="7" s="1"/>
  <c r="C6" i="7"/>
  <c r="C8" i="7" s="1"/>
  <c r="R65" i="6"/>
  <c r="Q31" i="6"/>
  <c r="P31" i="6"/>
  <c r="O31" i="6"/>
  <c r="N31" i="6"/>
  <c r="M31" i="6"/>
  <c r="L31" i="6"/>
  <c r="K31" i="6"/>
  <c r="J31" i="6"/>
  <c r="I31" i="6"/>
  <c r="H31" i="6"/>
  <c r="G31" i="6"/>
  <c r="R46" i="6"/>
  <c r="R45" i="6"/>
  <c r="R44" i="6"/>
  <c r="R43" i="6"/>
  <c r="R42" i="6"/>
  <c r="Q41" i="6"/>
  <c r="P41" i="6"/>
  <c r="O41" i="6"/>
  <c r="N41" i="6"/>
  <c r="M41" i="6"/>
  <c r="L41" i="6"/>
  <c r="K41" i="6"/>
  <c r="J41" i="6"/>
  <c r="I41" i="6"/>
  <c r="H41" i="6"/>
  <c r="G41" i="6"/>
  <c r="F41" i="6"/>
  <c r="R41" i="6" s="1"/>
  <c r="R38" i="6"/>
  <c r="Q33" i="6"/>
  <c r="P33" i="6"/>
  <c r="O33" i="6"/>
  <c r="N33" i="6"/>
  <c r="M33" i="6"/>
  <c r="L33" i="6"/>
  <c r="K33" i="6"/>
  <c r="J33" i="6"/>
  <c r="I33" i="6"/>
  <c r="H33" i="6"/>
  <c r="G33" i="6"/>
  <c r="F33" i="6"/>
  <c r="R27" i="6"/>
  <c r="R26" i="6"/>
  <c r="R25" i="6"/>
  <c r="R19" i="6"/>
  <c r="R48" i="6" l="1"/>
  <c r="R33" i="6"/>
  <c r="F31" i="6"/>
  <c r="R31" i="6" s="1"/>
  <c r="O42" i="7"/>
  <c r="Q42" i="7"/>
  <c r="M18" i="6" s="1"/>
  <c r="M20" i="6" s="1"/>
  <c r="K42" i="7"/>
  <c r="S42" i="7"/>
  <c r="N18" i="6" s="1"/>
  <c r="G42" i="7"/>
  <c r="W42" i="7"/>
  <c r="I42" i="7"/>
  <c r="I18" i="6" s="1"/>
  <c r="I20" i="6" s="1"/>
  <c r="Y42" i="7"/>
  <c r="Q18" i="6" s="1"/>
  <c r="Q20" i="6" s="1"/>
  <c r="E42" i="7"/>
  <c r="G18" i="6" s="1"/>
  <c r="G20" i="6" s="1"/>
  <c r="M42" i="7"/>
  <c r="U42" i="7"/>
  <c r="O18" i="6" s="1"/>
  <c r="O20" i="6" s="1"/>
  <c r="C42" i="7"/>
  <c r="K18" i="6" l="1"/>
  <c r="K20" i="6" s="1"/>
  <c r="P18" i="6"/>
  <c r="D44" i="7"/>
  <c r="F18" i="6"/>
  <c r="H18" i="6"/>
  <c r="J18" i="6"/>
  <c r="L18" i="6"/>
  <c r="F44" i="7"/>
  <c r="F45" i="7" s="1"/>
  <c r="F46" i="7" s="1"/>
  <c r="G42" i="1"/>
  <c r="H24" i="6" s="1"/>
  <c r="H22" i="6" s="1"/>
  <c r="O42" i="1"/>
  <c r="L24" i="6" s="1"/>
  <c r="L22" i="6" s="1"/>
  <c r="W42" i="1"/>
  <c r="P24" i="6" s="1"/>
  <c r="P22" i="6" s="1"/>
  <c r="I42" i="1"/>
  <c r="I24" i="6" s="1"/>
  <c r="I22" i="6" s="1"/>
  <c r="I63" i="6" s="1"/>
  <c r="I67" i="6" s="1"/>
  <c r="I76" i="6" s="1"/>
  <c r="Q42" i="1"/>
  <c r="M24" i="6" s="1"/>
  <c r="M22" i="6" s="1"/>
  <c r="M63" i="6" s="1"/>
  <c r="M67" i="6" s="1"/>
  <c r="M76" i="6" s="1"/>
  <c r="Y42" i="1"/>
  <c r="Q24" i="6" s="1"/>
  <c r="Q22" i="6" s="1"/>
  <c r="Q63" i="6" s="1"/>
  <c r="Q67" i="6" s="1"/>
  <c r="Q76" i="6" s="1"/>
  <c r="K42" i="1"/>
  <c r="S42" i="1"/>
  <c r="N24" i="6" s="1"/>
  <c r="N22" i="6" s="1"/>
  <c r="E42" i="1"/>
  <c r="G24" i="6" s="1"/>
  <c r="G22" i="6" s="1"/>
  <c r="G29" i="6" s="1"/>
  <c r="M42" i="1"/>
  <c r="U42" i="1"/>
  <c r="O24" i="6" s="1"/>
  <c r="O22" i="6" s="1"/>
  <c r="O63" i="6" s="1"/>
  <c r="O67" i="6" s="1"/>
  <c r="O76" i="6" s="1"/>
  <c r="B8" i="4"/>
  <c r="B7" i="4"/>
  <c r="B6" i="4"/>
  <c r="E49" i="7" l="1"/>
  <c r="U18" i="6"/>
  <c r="Q77" i="6"/>
  <c r="Q29" i="6"/>
  <c r="O77" i="6"/>
  <c r="O29" i="6"/>
  <c r="M77" i="6"/>
  <c r="M29" i="6"/>
  <c r="P20" i="6"/>
  <c r="P63" i="6" s="1"/>
  <c r="P67" i="6" s="1"/>
  <c r="P76" i="6" s="1"/>
  <c r="K24" i="6"/>
  <c r="K22" i="6" s="1"/>
  <c r="K29" i="6" s="1"/>
  <c r="N20" i="6"/>
  <c r="N63" i="6" s="1"/>
  <c r="N67" i="6" s="1"/>
  <c r="N76" i="6" s="1"/>
  <c r="J24" i="6"/>
  <c r="J22" i="6" s="1"/>
  <c r="I77" i="6"/>
  <c r="I29" i="6"/>
  <c r="G63" i="6"/>
  <c r="G67" i="6" s="1"/>
  <c r="G76" i="6" s="1"/>
  <c r="F44" i="1"/>
  <c r="F47" i="7"/>
  <c r="F48" i="7" s="1"/>
  <c r="D45" i="7"/>
  <c r="D46" i="7" s="1"/>
  <c r="J20" i="6"/>
  <c r="L20" i="6"/>
  <c r="H20" i="6"/>
  <c r="M78" i="6" l="1"/>
  <c r="Q78" i="6"/>
  <c r="I78" i="6"/>
  <c r="O78" i="6"/>
  <c r="K63" i="6"/>
  <c r="K67" i="6" s="1"/>
  <c r="K76" i="6" s="1"/>
  <c r="K77" i="6" s="1"/>
  <c r="N29" i="6"/>
  <c r="P29" i="6"/>
  <c r="E50" i="7"/>
  <c r="T18" i="6"/>
  <c r="V18" i="6" s="1"/>
  <c r="P77" i="6"/>
  <c r="N77" i="6"/>
  <c r="G77" i="6"/>
  <c r="G78" i="6" s="1"/>
  <c r="J63" i="6"/>
  <c r="J67" i="6" s="1"/>
  <c r="J76" i="6" s="1"/>
  <c r="J29" i="6"/>
  <c r="H63" i="6"/>
  <c r="H67" i="6" s="1"/>
  <c r="H76" i="6" s="1"/>
  <c r="H29" i="6"/>
  <c r="L63" i="6"/>
  <c r="L67" i="6" s="1"/>
  <c r="L76" i="6" s="1"/>
  <c r="L29" i="6"/>
  <c r="F45" i="1"/>
  <c r="F46" i="1" s="1"/>
  <c r="F47" i="1" s="1"/>
  <c r="F48" i="1" s="1"/>
  <c r="D47" i="7"/>
  <c r="D48" i="7" s="1"/>
  <c r="E51" i="7" s="1"/>
  <c r="X18" i="6" s="1"/>
  <c r="Y18" i="6" s="1"/>
  <c r="C42" i="1"/>
  <c r="N78" i="6" l="1"/>
  <c r="P78" i="6"/>
  <c r="K78" i="6"/>
  <c r="E53" i="7"/>
  <c r="L77" i="6"/>
  <c r="J77" i="6"/>
  <c r="H77" i="6"/>
  <c r="D44" i="1"/>
  <c r="E49" i="1" s="1"/>
  <c r="F24" i="6"/>
  <c r="F20" i="6"/>
  <c r="R18" i="6"/>
  <c r="H78" i="6" l="1"/>
  <c r="J78" i="6"/>
  <c r="L78" i="6"/>
  <c r="D45" i="1"/>
  <c r="D46" i="1" s="1"/>
  <c r="E50" i="1" s="1"/>
  <c r="R24" i="6"/>
  <c r="F22" i="6"/>
  <c r="R22" i="6" s="1"/>
  <c r="R20" i="6"/>
  <c r="D47" i="1" l="1"/>
  <c r="D48" i="1" s="1"/>
  <c r="E51" i="1" s="1"/>
  <c r="E53" i="1" s="1"/>
  <c r="F63" i="6"/>
  <c r="R63" i="6" s="1"/>
  <c r="F29" i="6"/>
  <c r="R29" i="6"/>
  <c r="F67" i="6" l="1"/>
  <c r="R67" i="6" s="1"/>
  <c r="E54" i="7"/>
  <c r="E55" i="7" s="1"/>
  <c r="E66" i="7" s="1"/>
  <c r="F66" i="7" s="1"/>
  <c r="F76" i="6" l="1"/>
  <c r="R76" i="6" s="1"/>
  <c r="F77" i="6" l="1"/>
  <c r="E11" i="10" s="1"/>
  <c r="B3" i="11" l="1"/>
  <c r="B4" i="11" s="1"/>
  <c r="F69" i="6" s="1"/>
  <c r="E14" i="10"/>
  <c r="R77" i="6"/>
  <c r="J10" i="10"/>
  <c r="F78" i="6"/>
  <c r="C6" i="10" l="1"/>
  <c r="C13" i="10" s="1"/>
  <c r="D15" i="10" s="1"/>
  <c r="B5" i="11"/>
  <c r="C3" i="11" s="1"/>
  <c r="R78" i="6"/>
  <c r="C4" i="11" l="1"/>
  <c r="G69" i="6" s="1"/>
  <c r="H6" i="10" l="1"/>
  <c r="H13" i="10" s="1"/>
  <c r="I15" i="10" s="1"/>
  <c r="C5" i="11"/>
  <c r="D3" i="11" s="1"/>
  <c r="D4" i="11" s="1"/>
  <c r="H69" i="6" s="1"/>
  <c r="D5" i="11" l="1"/>
  <c r="E3" i="11" s="1"/>
  <c r="E4" i="11" s="1"/>
  <c r="I69" i="6" s="1"/>
  <c r="E5" i="11" l="1"/>
  <c r="F3" i="11" s="1"/>
  <c r="F4" i="11" s="1"/>
  <c r="J69" i="6" s="1"/>
  <c r="F5" i="11" l="1"/>
  <c r="G3" i="11" s="1"/>
  <c r="G4" i="11" s="1"/>
  <c r="K69" i="6" s="1"/>
  <c r="G5" i="11" l="1"/>
  <c r="H3" i="11" s="1"/>
  <c r="H4" i="11" l="1"/>
  <c r="L69" i="6" s="1"/>
  <c r="H5" i="11" l="1"/>
  <c r="I3" i="11" s="1"/>
  <c r="I4" i="11" s="1"/>
  <c r="M69" i="6" s="1"/>
  <c r="I5" i="11" l="1"/>
  <c r="J3" i="11" s="1"/>
  <c r="J4" i="11" s="1"/>
  <c r="N69" i="6" s="1"/>
  <c r="J5" i="11" l="1"/>
  <c r="K3" i="11" s="1"/>
  <c r="K4" i="11" s="1"/>
  <c r="O69" i="6" s="1"/>
  <c r="K5" i="11" l="1"/>
  <c r="L3" i="11" s="1"/>
  <c r="L4" i="11" l="1"/>
  <c r="P69" i="6" s="1"/>
  <c r="L5" i="11" l="1"/>
  <c r="M3" i="11" s="1"/>
  <c r="M4" i="11" s="1"/>
  <c r="Q69" i="6" s="1"/>
  <c r="R69" i="6" l="1"/>
  <c r="M5" i="11"/>
</calcChain>
</file>

<file path=xl/sharedStrings.xml><?xml version="1.0" encoding="utf-8"?>
<sst xmlns="http://schemas.openxmlformats.org/spreadsheetml/2006/main" count="1178" uniqueCount="347">
  <si>
    <t>ZONA 1</t>
  </si>
  <si>
    <t>TOTAL AÑO 1</t>
  </si>
  <si>
    <t>TOTAL</t>
  </si>
  <si>
    <t>CAMION 1</t>
  </si>
  <si>
    <t>CAMION 2</t>
  </si>
  <si>
    <t>CAMION 3</t>
  </si>
  <si>
    <t>CAMION 4</t>
  </si>
  <si>
    <t>CAMION 5</t>
  </si>
  <si>
    <t>GASTOS GERENCIALES</t>
  </si>
  <si>
    <t>PRECIO</t>
  </si>
  <si>
    <t>COSTOS FIJOS</t>
  </si>
  <si>
    <t>ARRIENDO OFICINA BOGOTA</t>
  </si>
  <si>
    <t>MAQUINARIA Y EQUIPO</t>
  </si>
  <si>
    <t>VEHICULOS</t>
  </si>
  <si>
    <t>PATENTES</t>
  </si>
  <si>
    <t>GASTOS PAGADOS X ANTICIPADO</t>
  </si>
  <si>
    <t>BONOS</t>
  </si>
  <si>
    <t>TOTAL COSTOS FIJOS</t>
  </si>
  <si>
    <t>COSTOS VARIABLES</t>
  </si>
  <si>
    <t>CUENTAS X PAGAR</t>
  </si>
  <si>
    <t>PROVEEDORES</t>
  </si>
  <si>
    <t>SOBREGIROS</t>
  </si>
  <si>
    <t>ANTICIPOS</t>
  </si>
  <si>
    <t>PASIVOS A MEDIANO PLAZO</t>
  </si>
  <si>
    <t>BANCOS</t>
  </si>
  <si>
    <t>PROVISIONES</t>
  </si>
  <si>
    <t xml:space="preserve">IMPUESTOS </t>
  </si>
  <si>
    <t>PASIVOS A LARGO PLAZO</t>
  </si>
  <si>
    <t>LEASING</t>
  </si>
  <si>
    <t>PAGO DE INVERSIONES</t>
  </si>
  <si>
    <t>TOTAL PASIVOS</t>
  </si>
  <si>
    <t>PATRIMONIO</t>
  </si>
  <si>
    <t>OFICINA PORTATIL CASANARE</t>
  </si>
  <si>
    <t>ARCHIVADOR METALICO</t>
  </si>
  <si>
    <t>SILLAS EJECUTIVAS</t>
  </si>
  <si>
    <t>ESCRITORIO</t>
  </si>
  <si>
    <t>COMPUTADOR ESCRITORIO</t>
  </si>
  <si>
    <t>IMPRESORA</t>
  </si>
  <si>
    <t>COMPUTADOR PORTATIL</t>
  </si>
  <si>
    <t>CAMAROTE</t>
  </si>
  <si>
    <t>GRECA</t>
  </si>
  <si>
    <t>AIRE ACONDICIONADO</t>
  </si>
  <si>
    <t>TELEVISOR LCD 32´´</t>
  </si>
  <si>
    <t>ESTUFA ELECTRICA</t>
  </si>
  <si>
    <t>MICROONDAS</t>
  </si>
  <si>
    <t>CELULARES</t>
  </si>
  <si>
    <t>AVANTELES</t>
  </si>
  <si>
    <t xml:space="preserve">MUEBLES Y ENSERES </t>
  </si>
  <si>
    <t>MUEBLES Y ENSERES CASANARE</t>
  </si>
  <si>
    <t>MUEBLES Y ENSERES BOGOTA</t>
  </si>
  <si>
    <t>ACTIVOS</t>
  </si>
  <si>
    <t>PASIVOS</t>
  </si>
  <si>
    <t>GASTOS ADMINISTRATIVOS</t>
  </si>
  <si>
    <t>GERENTE</t>
  </si>
  <si>
    <t>SECRETARIA</t>
  </si>
  <si>
    <t>ASESORES</t>
  </si>
  <si>
    <t>VIATICOS</t>
  </si>
  <si>
    <t>SERVICIOS GENERALES</t>
  </si>
  <si>
    <t xml:space="preserve">MANTENIMENTO </t>
  </si>
  <si>
    <t>ARRIENDOS</t>
  </si>
  <si>
    <t>SEGUROS</t>
  </si>
  <si>
    <t>MANO DE OBRA DIRECTA</t>
  </si>
  <si>
    <t>MATERIAS PRIMAS</t>
  </si>
  <si>
    <t>IMPUESTOS ESPECIFCOS</t>
  </si>
  <si>
    <t>ENVASES EMBALAJES Y ETIQUETAS</t>
  </si>
  <si>
    <t>MATERIALES E INSUMOS DIRECTOS</t>
  </si>
  <si>
    <t>IMPUESTOS O PATENTES</t>
  </si>
  <si>
    <t>DEPRECIACION</t>
  </si>
  <si>
    <t>SERVICIOS PUBLICOS</t>
  </si>
  <si>
    <t>COMISIONES SOBRE VENTAS</t>
  </si>
  <si>
    <t>NUMERO DE DIAS</t>
  </si>
  <si>
    <t>SUBTOTAL POR EL MES</t>
  </si>
  <si>
    <t>SEMESTRE 1</t>
  </si>
  <si>
    <t>SEMESTRE 2</t>
  </si>
  <si>
    <t>SUBTOTAL POR DIA</t>
  </si>
  <si>
    <t>GASTOS DE VENTAS</t>
  </si>
  <si>
    <t>PROMOSION</t>
  </si>
  <si>
    <t>FUERZAS DE VENTAS</t>
  </si>
  <si>
    <t>ADMINISTRACION DE VENTAS</t>
  </si>
  <si>
    <t>MiEMPRESA</t>
  </si>
  <si>
    <t>PRESUPUESTO ANUAL</t>
  </si>
  <si>
    <t xml:space="preserve">PRESUPUESTO formato P&amp;L   </t>
  </si>
  <si>
    <t>Presupuesto Anual formato P&amp;L: Resumen y gráficos para presentar.</t>
  </si>
  <si>
    <t>Este formato te permite analizar tus resultados desde otra perspectiva.</t>
  </si>
  <si>
    <t>Modifica los títulos y las cuentas para adecuarlos a los hábitos de tu empresa.</t>
  </si>
  <si>
    <r>
      <t xml:space="preserve">Para una </t>
    </r>
    <r>
      <rPr>
        <b/>
        <sz val="10"/>
        <rFont val="Tahoma"/>
        <family val="2"/>
      </rPr>
      <t>mejor presentación</t>
    </r>
    <r>
      <rPr>
        <sz val="10"/>
        <rFont val="Tahoma"/>
        <family val="2"/>
      </rPr>
      <t>, oculta las filas que no hayas usado.</t>
    </r>
  </si>
  <si>
    <t>PROYECTO:</t>
  </si>
  <si>
    <t>Pérdidas y ganancias (previsional)</t>
  </si>
  <si>
    <t>Ventas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</si>
  <si>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</si>
  <si>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</si>
  <si>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</si>
  <si>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</si>
  <si>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</si>
  <si>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</si>
  <si>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</si>
  <si>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</si>
  <si>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</si>
  <si>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</si>
  <si>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</si>
  <si>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</si>
  <si>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</si>
  <si>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%</t>
  </si>
  <si>
    <t>Semestre I</t>
  </si>
  <si>
    <t>Semestre II</t>
  </si>
  <si>
    <t>Año</t>
  </si>
  <si>
    <t>Ingresos por Ventas</t>
  </si>
  <si>
    <t>Menos venta</t>
  </si>
  <si>
    <t>Venta neta</t>
  </si>
  <si>
    <t>Coste de las ventas</t>
  </si>
  <si>
    <t>Costos Fijos</t>
  </si>
  <si>
    <t>Salarios fijos</t>
  </si>
  <si>
    <t xml:space="preserve">Costos variables </t>
  </si>
  <si>
    <t>Margen bruto</t>
  </si>
  <si>
    <t>Costes operativos</t>
  </si>
  <si>
    <t>Gastos de Ventas y Marketing</t>
  </si>
  <si>
    <t>Publicidad y promoción</t>
  </si>
  <si>
    <t>Variables de marketing y ventas</t>
  </si>
  <si>
    <t>Comisiones Ventas</t>
  </si>
  <si>
    <t>Salarios marketing y ventas</t>
  </si>
  <si>
    <t>Gastos marketing</t>
  </si>
  <si>
    <t>Gastos ventas</t>
  </si>
  <si>
    <t>Gastos de Logística y Distribución</t>
  </si>
  <si>
    <t>Transporte de distribución</t>
  </si>
  <si>
    <t>Almacenamiento</t>
  </si>
  <si>
    <t>Salarios de Logística</t>
  </si>
  <si>
    <t>Empaques y embalajes</t>
  </si>
  <si>
    <t>Servicios de logística</t>
  </si>
  <si>
    <t>Gst. Administración y Generales</t>
  </si>
  <si>
    <t>Salarios admistración y generales</t>
  </si>
  <si>
    <t>Alquileres</t>
  </si>
  <si>
    <t>Suministros</t>
  </si>
  <si>
    <t>Mantenimiento</t>
  </si>
  <si>
    <t>Material Oficina</t>
  </si>
  <si>
    <t>Tributos</t>
  </si>
  <si>
    <t>Viajes y varios</t>
  </si>
  <si>
    <t>EBITDA</t>
  </si>
  <si>
    <t>Amortizaciones</t>
  </si>
  <si>
    <t>EBITA</t>
  </si>
  <si>
    <t>Ingresos Financieros</t>
  </si>
  <si>
    <t>Gastos Financieros</t>
  </si>
  <si>
    <t>Ingresos Extraordinarios</t>
  </si>
  <si>
    <t>Gastos Extraordinarios</t>
  </si>
  <si>
    <t>Resultados</t>
  </si>
  <si>
    <t>Beneficio antes de imp. (BAI)</t>
  </si>
  <si>
    <t>Impuestos</t>
  </si>
  <si>
    <t>Beneficio Neto</t>
  </si>
  <si>
    <t>VIAJES</t>
  </si>
  <si>
    <t>VALOR VIAJE</t>
  </si>
  <si>
    <t>TOTAL VALOR</t>
  </si>
  <si>
    <t xml:space="preserve">PRESUPUESTO  DE VENTAS MODELO   LOGISTICO  DE TRANSPORTE DE PETROLEO DESDE  EL  YACIMIENTO HASTA LA ESTACIÓN  DE BOMBEO  POR  MEDIO TERRESTRE  EN COLOMBIAPRESUPUESTO </t>
  </si>
  <si>
    <t xml:space="preserve">PRESUPUESTO  DE PAGO EN FLOTA MODELO   LOGISTICO  DE TRANSPORTE DE PETROLEO DESDE  EL  YACIMIENTO HASTA LA ESTACIÓN  DE BOMBEO  POR  MEDIO TERRESTRE  EN COLOMBIAPRESUPUESTO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</si>
  <si>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</si>
  <si>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</si>
  <si>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</si>
  <si>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</si>
  <si>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</si>
  <si>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</si>
  <si>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</si>
  <si>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</si>
  <si>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</si>
  <si>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</si>
  <si>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</si>
  <si>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</si>
  <si>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GASTOS DE VENTAS</t>
  </si>
  <si>
    <t xml:space="preserve">MERCADEO  </t>
  </si>
  <si>
    <t>PUBLICIDAD(DISENO PAGINA WEP)</t>
  </si>
  <si>
    <t>NUMERO DE VIAJES(4)</t>
  </si>
  <si>
    <t>PERIODO:</t>
  </si>
  <si>
    <t>ENERO DE 2012</t>
  </si>
  <si>
    <t>PRODUCTO</t>
  </si>
  <si>
    <t>CANTIDAD</t>
  </si>
  <si>
    <t>VALOR UNITARIO</t>
  </si>
  <si>
    <t>VALOR TOTAL</t>
  </si>
  <si>
    <t>NEVERA</t>
  </si>
  <si>
    <t>CAFETERA</t>
  </si>
  <si>
    <t>TOTAL CASANARE</t>
  </si>
  <si>
    <t>TOTAL BOGOTA</t>
  </si>
  <si>
    <t>VEHICULO-CAMIONETA</t>
  </si>
  <si>
    <t xml:space="preserve"> </t>
  </si>
  <si>
    <t xml:space="preserve">GASTOS DE INVENTARIOS </t>
  </si>
  <si>
    <t>TOTALES SEMESTRALES AÑO 2012</t>
  </si>
  <si>
    <t>TOTALES SEMESTRALES AÑO 2013</t>
  </si>
  <si>
    <t>TOTALES SEMESTRALES AÑO 2014</t>
  </si>
  <si>
    <t>TOTAL AÑO 2013</t>
  </si>
  <si>
    <t>TOTAL AÑO 2014</t>
  </si>
  <si>
    <t>IPC 4%</t>
  </si>
  <si>
    <t>IPC 5%</t>
  </si>
  <si>
    <t>TOTAL AÑO 2012</t>
  </si>
  <si>
    <t>MANTENIMIENTO</t>
  </si>
  <si>
    <t>ESPECIFICACION MANTENIMIENTO</t>
  </si>
  <si>
    <t>PIEZA A CONCIDERAR</t>
  </si>
  <si>
    <t>Acción</t>
  </si>
  <si>
    <t>Acción de revisión</t>
  </si>
  <si>
    <t>Frecuencia Km</t>
  </si>
  <si>
    <t>Lubricación:</t>
  </si>
  <si>
    <t>Aceites y filtros motor</t>
  </si>
  <si>
    <t>Cambiar</t>
  </si>
  <si>
    <t>Cambiar Aceites y filtros motor</t>
  </si>
  <si>
    <t>Cardán</t>
  </si>
  <si>
    <t>Engrasar</t>
  </si>
  <si>
    <t>Engrasar Cardán</t>
  </si>
  <si>
    <t>Sistema dirección</t>
  </si>
  <si>
    <t>Engrasar Sistema dirección</t>
  </si>
  <si>
    <t>Aceite diferencial y cubos</t>
  </si>
  <si>
    <t>Cambiar Aceite diferencial y cubos</t>
  </si>
  <si>
    <t>agua condensada de los tanques de aire</t>
  </si>
  <si>
    <t xml:space="preserve">Drenar </t>
  </si>
  <si>
    <t>Drenar  agua condensada de los tanques de aire</t>
  </si>
  <si>
    <t xml:space="preserve">Cambiar </t>
  </si>
  <si>
    <t>Eléctrico</t>
  </si>
  <si>
    <t>Correas de altenador  (tensión 10 mm)</t>
  </si>
  <si>
    <t>Revisar</t>
  </si>
  <si>
    <t>Medir</t>
  </si>
  <si>
    <t>Baterías</t>
  </si>
  <si>
    <t>Cambiar Baterías</t>
  </si>
  <si>
    <t xml:space="preserve">Llantas </t>
  </si>
  <si>
    <t>Cambio de llantas</t>
  </si>
  <si>
    <t>Cambiar llantas</t>
  </si>
  <si>
    <t>Frenos</t>
  </si>
  <si>
    <t>Accionamiento frenos</t>
  </si>
  <si>
    <t>Refrigeración:</t>
  </si>
  <si>
    <t>Fijación y limpieza radiador</t>
  </si>
  <si>
    <t>Revisar Fijación y limpieza radiador</t>
  </si>
  <si>
    <t>Ventilador</t>
  </si>
  <si>
    <t>Revisar Ventilador</t>
  </si>
  <si>
    <t>Cardan ventilador</t>
  </si>
  <si>
    <t>Revisar Cardan ventilador</t>
  </si>
  <si>
    <t>Sistema indicador nivel refrigerante</t>
  </si>
  <si>
    <t>Probar</t>
  </si>
  <si>
    <t>Probar Sistema indicador nivel refrigerante</t>
  </si>
  <si>
    <t>Bomba de agua</t>
  </si>
  <si>
    <t>Cambiar Bomba de agua</t>
  </si>
  <si>
    <t>Lavado</t>
  </si>
  <si>
    <t>Lavar</t>
  </si>
  <si>
    <t xml:space="preserve">diario </t>
  </si>
  <si>
    <t xml:space="preserve">60 días </t>
  </si>
  <si>
    <t>Tanqueo</t>
  </si>
  <si>
    <t>tanqueo de refuerzo según kilometros recorridos</t>
  </si>
  <si>
    <t>tanque 160 galones a full</t>
  </si>
  <si>
    <t>DIESEL</t>
  </si>
  <si>
    <t>SOAT</t>
  </si>
  <si>
    <t>documentos del vehiculo</t>
  </si>
  <si>
    <t>revision</t>
  </si>
  <si>
    <t>actualizacion de documentos</t>
  </si>
  <si>
    <t>anual</t>
  </si>
  <si>
    <t>REVISION TECNOMECANICA</t>
  </si>
  <si>
    <t>IMPUESTOS</t>
  </si>
  <si>
    <t>SEGUROS CONTRACTUALES</t>
  </si>
  <si>
    <t>SEGUROS EXTRACONTRACTUALES</t>
  </si>
  <si>
    <t>TARJETA DE OPERACION</t>
  </si>
  <si>
    <t>COSTO MENSUAL</t>
  </si>
  <si>
    <t>COSTO SEMESTRE 1</t>
  </si>
  <si>
    <t>CAMBIO Correas de altenador  (tensión 10 mm)</t>
  </si>
  <si>
    <t>cambio de bandas</t>
  </si>
  <si>
    <t>camioneta</t>
  </si>
  <si>
    <t xml:space="preserve">Filtros de comcamionetatible </t>
  </si>
  <si>
    <t xml:space="preserve">Cambiar  Filtros de comcamionetatible </t>
  </si>
  <si>
    <t>Lavar camioneta</t>
  </si>
  <si>
    <t>camioneta general</t>
  </si>
  <si>
    <t>Lavar camioneta general y desmanche</t>
  </si>
  <si>
    <t>COSTO AÑO 2012</t>
  </si>
  <si>
    <t>COSTO AÑO 2013</t>
  </si>
  <si>
    <t>COSTO AÑO 2014</t>
  </si>
  <si>
    <t>SALARIO BASICO</t>
  </si>
  <si>
    <t>AUX TRANSPORTE (devengan menos de 2 salarios minimos)</t>
  </si>
  <si>
    <t>NOMINA</t>
  </si>
  <si>
    <t>DEVENGOS</t>
  </si>
  <si>
    <t>DESCUENTOS</t>
  </si>
  <si>
    <t>SEGURIDAD SOCIAL</t>
  </si>
  <si>
    <t>DIAS LABORADOS</t>
  </si>
  <si>
    <t>SUELDO</t>
  </si>
  <si>
    <t>A. TRANSPO.</t>
  </si>
  <si>
    <t>CANT. EXTRAS</t>
  </si>
  <si>
    <t>horas EXTRAS DIURNAS</t>
  </si>
  <si>
    <t>cant. recargos</t>
  </si>
  <si>
    <t>RECARGOS</t>
  </si>
  <si>
    <t>TOTAL DEVENGADOS</t>
  </si>
  <si>
    <t>SALUD 4%</t>
  </si>
  <si>
    <t>PENSION 4%</t>
  </si>
  <si>
    <t>FONDO SOLIDARIDAD</t>
  </si>
  <si>
    <t>TOTAL DESCUENTOS</t>
  </si>
  <si>
    <t>NETO A PAGAR</t>
  </si>
  <si>
    <t>GOMEZ JUANITA</t>
  </si>
  <si>
    <t>GASCA AMADEO</t>
  </si>
  <si>
    <t>MAYORGA PINZON CARLOS ANDRES</t>
  </si>
  <si>
    <t>NARANJO MGUEL ANGEL</t>
  </si>
  <si>
    <t>BRANDON VIVAS</t>
  </si>
  <si>
    <t>CHARTANO GLORIA AMPARO</t>
  </si>
  <si>
    <t>FONSECA JOHANNA (ASES. JURID)</t>
  </si>
  <si>
    <t>ACOSTA FERNANDO (CONT. PUB)</t>
  </si>
  <si>
    <t>GOMEZ JUAN PABLO (TECN.SIST)</t>
  </si>
  <si>
    <t>TOTALES</t>
  </si>
  <si>
    <t>OTROS GASTOS A CARGO DE LA EMPRESA</t>
  </si>
  <si>
    <t>mensual</t>
  </si>
  <si>
    <t>año 2012</t>
  </si>
  <si>
    <t>RIESGOS PROFESIONALES 0,522%</t>
  </si>
  <si>
    <t>total nomina mensual</t>
  </si>
  <si>
    <t>nomina prestacion de servicios</t>
  </si>
  <si>
    <t>PARAFISCALES</t>
  </si>
  <si>
    <t>nomina servicio escolta</t>
  </si>
  <si>
    <t>CAJA 4%</t>
  </si>
  <si>
    <t>parafiscales</t>
  </si>
  <si>
    <t>SENA2%</t>
  </si>
  <si>
    <t>provisiones</t>
  </si>
  <si>
    <t>ICBF 3%</t>
  </si>
  <si>
    <t>riesgos profesionales</t>
  </si>
  <si>
    <t>Cesantias</t>
  </si>
  <si>
    <t>ipc ano 2012</t>
  </si>
  <si>
    <t>Prima de Servicios</t>
  </si>
  <si>
    <t>total nomina 2013</t>
  </si>
  <si>
    <t>Vacaciones</t>
  </si>
  <si>
    <t>ipc ano 2013</t>
  </si>
  <si>
    <t>Int /Cesantias</t>
  </si>
  <si>
    <t>total nimona 2013</t>
  </si>
  <si>
    <t>total nominas 2012-2013-2014</t>
  </si>
  <si>
    <t>total    nomina mensual 2012</t>
  </si>
  <si>
    <t>total nomina anual 2012</t>
  </si>
  <si>
    <t>total nomina y provisiones 2012</t>
  </si>
  <si>
    <t>vigilancia escoltas</t>
  </si>
  <si>
    <t>OFICINA PORTATIL</t>
  </si>
  <si>
    <t>Transportes y mantenimiento de vehiculo</t>
  </si>
  <si>
    <t>MUEBLES Y ENCERES</t>
  </si>
  <si>
    <t>EQUIPOS DE OFICINA</t>
  </si>
  <si>
    <t>servicios publicos</t>
  </si>
  <si>
    <t>CAMION 6</t>
  </si>
  <si>
    <t>mes de enero</t>
  </si>
  <si>
    <t>INGRESO FINANCIEROS</t>
  </si>
  <si>
    <t>AGSTO</t>
  </si>
  <si>
    <t>INTERES ANUAL</t>
  </si>
  <si>
    <t>reserva para inprevisto</t>
  </si>
  <si>
    <t>seguros en cumplimiento</t>
  </si>
  <si>
    <t>INGRESOS DE VENTAS</t>
  </si>
  <si>
    <t>COSTOS DE VENTAS</t>
  </si>
  <si>
    <t>GASTOS DE VENTAS Y MARKETING</t>
  </si>
  <si>
    <t>GASTOS DE ADMINISTRACION</t>
  </si>
  <si>
    <t>INGRESOS FINANCIEROS</t>
  </si>
  <si>
    <t>INGRESO EFECTIVO</t>
  </si>
  <si>
    <t>INGRESOS</t>
  </si>
  <si>
    <t>EGRESOS</t>
  </si>
  <si>
    <t xml:space="preserve">TOTAL INGRESOS </t>
  </si>
  <si>
    <t xml:space="preserve">TOTAL EGRESOS </t>
  </si>
  <si>
    <t>SALDO</t>
  </si>
  <si>
    <t>AMORTIZACIONES</t>
  </si>
  <si>
    <t>GASTOS FINANCIEROS</t>
  </si>
  <si>
    <t>pago de credito</t>
  </si>
  <si>
    <t>FLUJO DE EFECTIVO  AÑO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</si>
</sst>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&quot;$&quot;* #,##0_-;\-&quot;$&quot;* #,##0_-;_-&quot;$&quot;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#,##0.0"/>
    <numFmt numFmtId="167" formatCode="0.0%"/>
    <numFmt numFmtId="168" formatCode="&quot;$&quot;#,##0;[Red]&quot;$&quot;#,##0"/>
    <numFmt numFmtId="169" formatCode="_-[$$-240A]\ * #,##0_ ;_-[$$-240A]\ * \-#,##0\ ;_-[$$-240A]\ * &quot;-&quot;??_ ;_-@_ "/>
    <numFmt numFmtId="170" formatCode="_-* #,##0.00\ _€_-;\-* #,##0.00\ _€_-;_-* &quot;-&quot;??\ _€_-;_-@_-"/>
    <numFmt numFmtId="171" formatCode="_-* #,##0\ _€_-;\-* #,##0\ _€_-;_-* &quot;-&quot;??\ _€_-;_-@_-"/>
    <numFmt numFmtId="172" formatCode="[$$-240A]\ #,##0;[Red][$$-240A]\ #,##0"/>
    <numFmt numFmtId="173" formatCode="_(* #,##0_);_(* \(#,##0\);_(* &quot;-&quot;??_);_(@_)"/>
    <numFmt numFmtId="174" formatCode="#,##0;[Red]#,##0"/>
    <numFmt numFmtId="175" formatCode="_(* #,##0.000_);_(* \(#,##0.000\);_(* &quot;-&quot;??_);_(@_)"/>
    <numFmt numFmtId="176" formatCode="#,##0.000"/>
    <numFmt numFmtId="178" formatCode="[$$-240A]\ #,##0.00;[Red][$$-240A]\ #,##0.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4"/>
      <color indexed="9"/>
      <name val="Tahoma"/>
      <family val="2"/>
    </font>
    <font>
      <b/>
      <sz val="16"/>
      <color indexed="42"/>
      <name val="Tahoma"/>
      <family val="2"/>
    </font>
    <font>
      <sz val="16"/>
      <name val="Arial"/>
      <family val="2"/>
    </font>
    <font>
      <b/>
      <sz val="16"/>
      <color indexed="9"/>
      <name val="Tahoma"/>
      <family val="2"/>
    </font>
    <font>
      <u/>
      <sz val="10"/>
      <color indexed="12"/>
      <name val="Arial"/>
      <family val="2"/>
    </font>
    <font>
      <b/>
      <u/>
      <sz val="12"/>
      <color indexed="9"/>
      <name val="Tahoma"/>
      <family val="2"/>
    </font>
    <font>
      <b/>
      <sz val="18"/>
      <color indexed="9"/>
      <name val="Tahoma"/>
      <family val="2"/>
    </font>
    <font>
      <b/>
      <u/>
      <sz val="12"/>
      <color indexed="9"/>
      <name val="Arial"/>
      <family val="2"/>
    </font>
    <font>
      <b/>
      <u/>
      <sz val="14"/>
      <color indexed="9"/>
      <name val="Tahoma"/>
      <family val="2"/>
    </font>
    <font>
      <u/>
      <sz val="12"/>
      <color indexed="9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0"/>
      <color indexed="16"/>
      <name val="Tahoma"/>
      <family val="2"/>
    </font>
    <font>
      <b/>
      <sz val="12"/>
      <color indexed="16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20"/>
      <color theme="1"/>
      <name val="Calibri"/>
      <family val="2"/>
      <scheme val="minor"/>
    </font>
    <font>
      <sz val="18"/>
      <color theme="1"/>
      <name val="Aharoni"/>
      <charset val="177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u/>
      <sz val="8"/>
      <name val="Arial"/>
      <family val="2"/>
    </font>
    <font>
      <i/>
      <sz val="8"/>
      <name val="Arial"/>
      <family val="2"/>
    </font>
    <font>
      <b/>
      <i/>
      <u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3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8" fillId="0" borderId="0"/>
    <xf numFmtId="170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3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164" fontId="0" fillId="0" borderId="0" xfId="1" applyFont="1"/>
    <xf numFmtId="0" fontId="0" fillId="0" borderId="5" xfId="0" applyBorder="1" applyAlignment="1">
      <alignment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165" fontId="5" fillId="0" borderId="1" xfId="0" applyNumberFormat="1" applyFont="1" applyBorder="1"/>
    <xf numFmtId="0" fontId="5" fillId="0" borderId="0" xfId="0" applyFont="1"/>
    <xf numFmtId="165" fontId="4" fillId="0" borderId="8" xfId="0" applyNumberFormat="1" applyFont="1" applyBorder="1"/>
    <xf numFmtId="0" fontId="0" fillId="0" borderId="0" xfId="0" applyBorder="1"/>
    <xf numFmtId="0" fontId="0" fillId="0" borderId="10" xfId="0" applyBorder="1"/>
    <xf numFmtId="0" fontId="0" fillId="0" borderId="11" xfId="0" applyBorder="1" applyAlignment="1">
      <alignment horizontal="right" vertical="center"/>
    </xf>
    <xf numFmtId="165" fontId="0" fillId="0" borderId="11" xfId="1" applyNumberFormat="1" applyFont="1" applyBorder="1"/>
    <xf numFmtId="165" fontId="0" fillId="0" borderId="10" xfId="1" applyNumberFormat="1" applyFont="1" applyBorder="1"/>
    <xf numFmtId="165" fontId="0" fillId="0" borderId="11" xfId="0" applyNumberFormat="1" applyBorder="1"/>
    <xf numFmtId="0" fontId="0" fillId="0" borderId="2" xfId="0" applyBorder="1"/>
    <xf numFmtId="165" fontId="0" fillId="0" borderId="10" xfId="0" applyNumberFormat="1" applyBorder="1"/>
    <xf numFmtId="0" fontId="0" fillId="0" borderId="0" xfId="0" applyBorder="1" applyAlignment="1">
      <alignment wrapText="1"/>
    </xf>
    <xf numFmtId="0" fontId="0" fillId="0" borderId="10" xfId="0" applyBorder="1" applyAlignment="1">
      <alignment horizontal="right" vertical="center"/>
    </xf>
    <xf numFmtId="0" fontId="5" fillId="0" borderId="2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1" xfId="0" applyNumberFormat="1" applyBorder="1"/>
    <xf numFmtId="165" fontId="4" fillId="0" borderId="1" xfId="0" applyNumberFormat="1" applyFont="1" applyBorder="1"/>
    <xf numFmtId="165" fontId="5" fillId="0" borderId="2" xfId="0" applyNumberFormat="1" applyFont="1" applyBorder="1"/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5" fontId="6" fillId="0" borderId="0" xfId="1" applyNumberFormat="1" applyFont="1" applyBorder="1"/>
    <xf numFmtId="165" fontId="3" fillId="0" borderId="0" xfId="0" applyNumberFormat="1" applyFont="1" applyBorder="1"/>
    <xf numFmtId="165" fontId="6" fillId="0" borderId="0" xfId="0" applyNumberFormat="1" applyFont="1" applyBorder="1"/>
    <xf numFmtId="0" fontId="4" fillId="0" borderId="1" xfId="0" applyFont="1" applyBorder="1"/>
    <xf numFmtId="0" fontId="8" fillId="2" borderId="16" xfId="2" applyFill="1" applyBorder="1"/>
    <xf numFmtId="0" fontId="8" fillId="2" borderId="0" xfId="2" applyFill="1" applyProtection="1"/>
    <xf numFmtId="0" fontId="8" fillId="2" borderId="0" xfId="2" applyFill="1"/>
    <xf numFmtId="0" fontId="9" fillId="3" borderId="17" xfId="2" applyFont="1" applyFill="1" applyBorder="1" applyProtection="1"/>
    <xf numFmtId="0" fontId="9" fillId="3" borderId="18" xfId="2" applyFont="1" applyFill="1" applyBorder="1" applyAlignment="1">
      <alignment horizontal="center"/>
    </xf>
    <xf numFmtId="0" fontId="15" fillId="2" borderId="20" xfId="3" applyFont="1" applyFill="1" applyBorder="1" applyAlignment="1" applyProtection="1">
      <alignment horizontal="center"/>
    </xf>
    <xf numFmtId="0" fontId="8" fillId="2" borderId="21" xfId="2" applyFill="1" applyBorder="1" applyProtection="1"/>
    <xf numFmtId="0" fontId="8" fillId="2" borderId="21" xfId="2" applyFill="1" applyBorder="1"/>
    <xf numFmtId="0" fontId="8" fillId="2" borderId="22" xfId="2" applyFill="1" applyBorder="1"/>
    <xf numFmtId="0" fontId="9" fillId="3" borderId="23" xfId="2" applyFont="1" applyFill="1" applyBorder="1" applyProtection="1"/>
    <xf numFmtId="0" fontId="9" fillId="3" borderId="0" xfId="2" applyFont="1" applyFill="1" applyBorder="1" applyAlignment="1">
      <alignment horizontal="center"/>
    </xf>
    <xf numFmtId="49" fontId="16" fillId="2" borderId="23" xfId="2" applyNumberFormat="1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/>
    </xf>
    <xf numFmtId="0" fontId="8" fillId="2" borderId="0" xfId="2" applyFill="1" applyBorder="1"/>
    <xf numFmtId="0" fontId="8" fillId="2" borderId="26" xfId="2" applyFill="1" applyBorder="1"/>
    <xf numFmtId="0" fontId="9" fillId="2" borderId="27" xfId="2" applyFont="1" applyFill="1" applyBorder="1" applyProtection="1"/>
    <xf numFmtId="0" fontId="9" fillId="2" borderId="18" xfId="2" applyFont="1" applyFill="1" applyBorder="1" applyProtection="1"/>
    <xf numFmtId="0" fontId="18" fillId="2" borderId="18" xfId="3" applyFont="1" applyFill="1" applyBorder="1" applyAlignment="1" applyProtection="1">
      <alignment horizontal="center"/>
    </xf>
    <xf numFmtId="0" fontId="15" fillId="2" borderId="18" xfId="3" applyFont="1" applyFill="1" applyBorder="1" applyAlignment="1" applyProtection="1"/>
    <xf numFmtId="0" fontId="19" fillId="2" borderId="18" xfId="3" applyFont="1" applyFill="1" applyBorder="1" applyAlignment="1" applyProtection="1"/>
    <xf numFmtId="0" fontId="15" fillId="2" borderId="18" xfId="3" applyFont="1" applyFill="1" applyBorder="1" applyAlignment="1" applyProtection="1">
      <alignment horizontal="right"/>
    </xf>
    <xf numFmtId="0" fontId="9" fillId="2" borderId="0" xfId="2" applyFont="1" applyFill="1" applyBorder="1" applyProtection="1"/>
    <xf numFmtId="0" fontId="9" fillId="2" borderId="0" xfId="2" applyFont="1" applyFill="1" applyBorder="1"/>
    <xf numFmtId="0" fontId="9" fillId="2" borderId="26" xfId="2" applyFont="1" applyFill="1" applyBorder="1"/>
    <xf numFmtId="0" fontId="9" fillId="4" borderId="28" xfId="2" applyFont="1" applyFill="1" applyBorder="1" applyProtection="1"/>
    <xf numFmtId="0" fontId="9" fillId="4" borderId="21" xfId="2" applyFont="1" applyFill="1" applyBorder="1" applyProtection="1"/>
    <xf numFmtId="0" fontId="9" fillId="4" borderId="22" xfId="2" applyFont="1" applyFill="1" applyBorder="1" applyProtection="1"/>
    <xf numFmtId="0" fontId="9" fillId="4" borderId="16" xfId="2" applyFont="1" applyFill="1" applyBorder="1" applyProtection="1"/>
    <xf numFmtId="0" fontId="9" fillId="4" borderId="0" xfId="2" applyFont="1" applyFill="1" applyBorder="1" applyProtection="1"/>
    <xf numFmtId="0" fontId="21" fillId="4" borderId="26" xfId="2" applyFont="1" applyFill="1" applyBorder="1" applyAlignment="1" applyProtection="1"/>
    <xf numFmtId="0" fontId="21" fillId="2" borderId="0" xfId="2" applyFont="1" applyFill="1" applyBorder="1" applyAlignment="1" applyProtection="1"/>
    <xf numFmtId="0" fontId="22" fillId="4" borderId="26" xfId="2" applyFont="1" applyFill="1" applyBorder="1" applyAlignment="1" applyProtection="1"/>
    <xf numFmtId="0" fontId="22" fillId="2" borderId="0" xfId="2" applyFont="1" applyFill="1" applyBorder="1" applyAlignment="1" applyProtection="1"/>
    <xf numFmtId="0" fontId="24" fillId="4" borderId="26" xfId="2" applyFont="1" applyFill="1" applyBorder="1" applyAlignment="1" applyProtection="1"/>
    <xf numFmtId="0" fontId="24" fillId="2" borderId="0" xfId="2" applyFont="1" applyFill="1" applyBorder="1" applyAlignment="1" applyProtection="1"/>
    <xf numFmtId="0" fontId="9" fillId="4" borderId="26" xfId="2" applyFont="1" applyFill="1" applyBorder="1" applyProtection="1"/>
    <xf numFmtId="0" fontId="9" fillId="4" borderId="29" xfId="2" applyFont="1" applyFill="1" applyBorder="1" applyProtection="1"/>
    <xf numFmtId="0" fontId="9" fillId="4" borderId="30" xfId="2" applyFont="1" applyFill="1" applyBorder="1" applyProtection="1"/>
    <xf numFmtId="0" fontId="9" fillId="4" borderId="31" xfId="2" applyFont="1" applyFill="1" applyBorder="1" applyProtection="1"/>
    <xf numFmtId="0" fontId="9" fillId="2" borderId="16" xfId="2" applyFont="1" applyFill="1" applyBorder="1" applyProtection="1"/>
    <xf numFmtId="0" fontId="9" fillId="2" borderId="0" xfId="2" applyFont="1" applyFill="1" applyProtection="1"/>
    <xf numFmtId="0" fontId="25" fillId="2" borderId="0" xfId="2" applyFont="1" applyFill="1" applyAlignment="1" applyProtection="1">
      <alignment horizontal="right"/>
    </xf>
    <xf numFmtId="0" fontId="9" fillId="2" borderId="29" xfId="2" applyFont="1" applyFill="1" applyBorder="1" applyProtection="1"/>
    <xf numFmtId="0" fontId="9" fillId="5" borderId="28" xfId="2" applyFont="1" applyFill="1" applyBorder="1" applyProtection="1"/>
    <xf numFmtId="0" fontId="9" fillId="5" borderId="21" xfId="2" applyFont="1" applyFill="1" applyBorder="1" applyProtection="1"/>
    <xf numFmtId="0" fontId="26" fillId="2" borderId="32" xfId="2" applyFont="1" applyFill="1" applyBorder="1" applyAlignment="1" applyProtection="1">
      <alignment horizontal="center" vertical="center"/>
    </xf>
    <xf numFmtId="0" fontId="9" fillId="5" borderId="16" xfId="2" applyFont="1" applyFill="1" applyBorder="1" applyProtection="1"/>
    <xf numFmtId="49" fontId="27" fillId="5" borderId="24" xfId="2" applyNumberFormat="1" applyFont="1" applyFill="1" applyBorder="1" applyProtection="1"/>
    <xf numFmtId="1" fontId="28" fillId="5" borderId="24" xfId="2" applyNumberFormat="1" applyFont="1" applyFill="1" applyBorder="1" applyAlignment="1" applyProtection="1">
      <alignment horizontal="left"/>
    </xf>
    <xf numFmtId="0" fontId="9" fillId="2" borderId="28" xfId="2" applyFont="1" applyFill="1" applyBorder="1"/>
    <xf numFmtId="0" fontId="27" fillId="5" borderId="0" xfId="2" applyFont="1" applyFill="1" applyBorder="1" applyProtection="1"/>
    <xf numFmtId="0" fontId="9" fillId="2" borderId="16" xfId="2" applyFont="1" applyFill="1" applyBorder="1"/>
    <xf numFmtId="0" fontId="28" fillId="5" borderId="30" xfId="3" applyFont="1" applyFill="1" applyBorder="1" applyAlignment="1" applyProtection="1">
      <alignment horizontal="center"/>
    </xf>
    <xf numFmtId="0" fontId="27" fillId="5" borderId="30" xfId="3" applyFont="1" applyFill="1" applyBorder="1" applyAlignment="1" applyProtection="1">
      <alignment horizontal="right"/>
    </xf>
    <xf numFmtId="166" fontId="27" fillId="5" borderId="30" xfId="2" applyNumberFormat="1" applyFont="1" applyFill="1" applyBorder="1" applyAlignment="1" applyProtection="1">
      <alignment horizontal="center"/>
      <protection locked="0"/>
    </xf>
    <xf numFmtId="0" fontId="28" fillId="5" borderId="30" xfId="2" applyFont="1" applyFill="1" applyBorder="1" applyAlignment="1">
      <alignment horizontal="center"/>
    </xf>
    <xf numFmtId="0" fontId="27" fillId="5" borderId="30" xfId="2" applyFont="1" applyFill="1" applyBorder="1" applyAlignment="1">
      <alignment horizontal="center"/>
    </xf>
    <xf numFmtId="0" fontId="25" fillId="5" borderId="16" xfId="2" applyFont="1" applyFill="1" applyBorder="1" applyAlignment="1">
      <alignment horizontal="center"/>
    </xf>
    <xf numFmtId="0" fontId="27" fillId="5" borderId="0" xfId="2" applyFont="1" applyFill="1" applyBorder="1"/>
    <xf numFmtId="0" fontId="9" fillId="5" borderId="16" xfId="2" applyFont="1" applyFill="1" applyBorder="1"/>
    <xf numFmtId="0" fontId="28" fillId="5" borderId="0" xfId="2" applyNumberFormat="1" applyFont="1" applyFill="1" applyBorder="1" applyAlignment="1" applyProtection="1">
      <alignment horizontal="right"/>
      <protection locked="0"/>
    </xf>
    <xf numFmtId="3" fontId="28" fillId="5" borderId="0" xfId="2" applyNumberFormat="1" applyFont="1" applyFill="1" applyBorder="1" applyProtection="1">
      <protection locked="0"/>
    </xf>
    <xf numFmtId="3" fontId="28" fillId="5" borderId="0" xfId="2" applyNumberFormat="1" applyFont="1" applyFill="1" applyBorder="1" applyProtection="1"/>
    <xf numFmtId="0" fontId="27" fillId="5" borderId="0" xfId="2" applyNumberFormat="1" applyFont="1" applyFill="1" applyBorder="1" applyAlignment="1" applyProtection="1">
      <alignment horizontal="right"/>
      <protection locked="0"/>
    </xf>
    <xf numFmtId="4" fontId="27" fillId="5" borderId="0" xfId="2" applyNumberFormat="1" applyFont="1" applyFill="1" applyBorder="1" applyAlignment="1" applyProtection="1">
      <alignment horizontal="right"/>
      <protection locked="0"/>
    </xf>
    <xf numFmtId="3" fontId="27" fillId="5" borderId="0" xfId="2" applyNumberFormat="1" applyFont="1" applyFill="1" applyBorder="1" applyProtection="1">
      <protection locked="0"/>
    </xf>
    <xf numFmtId="3" fontId="27" fillId="5" borderId="0" xfId="2" applyNumberFormat="1" applyFont="1" applyFill="1" applyBorder="1" applyProtection="1"/>
    <xf numFmtId="167" fontId="27" fillId="5" borderId="0" xfId="2" applyNumberFormat="1" applyFont="1" applyFill="1" applyBorder="1" applyProtection="1"/>
    <xf numFmtId="3" fontId="27" fillId="5" borderId="30" xfId="3" applyNumberFormat="1" applyFont="1" applyFill="1" applyBorder="1" applyAlignment="1" applyProtection="1">
      <alignment horizontal="right"/>
    </xf>
    <xf numFmtId="3" fontId="28" fillId="5" borderId="30" xfId="2" applyNumberFormat="1" applyFont="1" applyFill="1" applyBorder="1" applyProtection="1">
      <protection locked="0"/>
    </xf>
    <xf numFmtId="167" fontId="28" fillId="5" borderId="30" xfId="2" applyNumberFormat="1" applyFont="1" applyFill="1" applyBorder="1" applyProtection="1"/>
    <xf numFmtId="4" fontId="27" fillId="5" borderId="30" xfId="2" applyNumberFormat="1" applyFont="1" applyFill="1" applyBorder="1" applyAlignment="1" applyProtection="1">
      <alignment horizontal="right"/>
      <protection locked="0"/>
    </xf>
    <xf numFmtId="167" fontId="28" fillId="5" borderId="0" xfId="2" applyNumberFormat="1" applyFont="1" applyFill="1" applyBorder="1" applyProtection="1"/>
    <xf numFmtId="49" fontId="27" fillId="5" borderId="0" xfId="2" applyNumberFormat="1" applyFont="1" applyFill="1" applyBorder="1" applyAlignment="1" applyProtection="1">
      <alignment horizontal="right"/>
      <protection locked="0"/>
    </xf>
    <xf numFmtId="0" fontId="28" fillId="5" borderId="30" xfId="2" applyNumberFormat="1" applyFont="1" applyFill="1" applyBorder="1" applyAlignment="1" applyProtection="1">
      <alignment horizontal="right"/>
      <protection locked="0"/>
    </xf>
    <xf numFmtId="3" fontId="28" fillId="5" borderId="30" xfId="2" applyNumberFormat="1" applyFont="1" applyFill="1" applyBorder="1" applyAlignment="1" applyProtection="1">
      <alignment horizontal="right"/>
      <protection locked="0"/>
    </xf>
    <xf numFmtId="0" fontId="28" fillId="5" borderId="30" xfId="3" applyFont="1" applyFill="1" applyBorder="1" applyAlignment="1" applyProtection="1">
      <alignment horizontal="right"/>
    </xf>
    <xf numFmtId="0" fontId="27" fillId="5" borderId="30" xfId="2" applyFont="1" applyFill="1" applyBorder="1"/>
    <xf numFmtId="166" fontId="28" fillId="5" borderId="30" xfId="2" applyNumberFormat="1" applyFont="1" applyFill="1" applyBorder="1" applyAlignment="1">
      <alignment horizontal="center"/>
    </xf>
    <xf numFmtId="0" fontId="28" fillId="5" borderId="0" xfId="3" applyFont="1" applyFill="1" applyBorder="1" applyAlignment="1" applyProtection="1">
      <alignment horizontal="right"/>
    </xf>
    <xf numFmtId="166" fontId="27" fillId="5" borderId="0" xfId="2" applyNumberFormat="1" applyFont="1" applyFill="1" applyBorder="1" applyAlignment="1" applyProtection="1">
      <alignment horizontal="center"/>
      <protection locked="0"/>
    </xf>
    <xf numFmtId="166" fontId="28" fillId="5" borderId="0" xfId="2" applyNumberFormat="1" applyFont="1" applyFill="1" applyBorder="1" applyAlignment="1">
      <alignment horizontal="center"/>
    </xf>
    <xf numFmtId="3" fontId="28" fillId="5" borderId="0" xfId="2" applyNumberFormat="1" applyFont="1" applyFill="1" applyBorder="1" applyAlignment="1" applyProtection="1">
      <alignment horizontal="right"/>
      <protection locked="0"/>
    </xf>
    <xf numFmtId="0" fontId="27" fillId="5" borderId="0" xfId="3" applyFont="1" applyFill="1" applyBorder="1" applyAlignment="1" applyProtection="1">
      <alignment horizontal="right"/>
    </xf>
    <xf numFmtId="3" fontId="27" fillId="5" borderId="0" xfId="2" applyNumberFormat="1" applyFont="1" applyFill="1" applyBorder="1" applyAlignment="1" applyProtection="1">
      <alignment horizontal="right"/>
      <protection locked="0"/>
    </xf>
    <xf numFmtId="3" fontId="27" fillId="5" borderId="0" xfId="2" applyNumberFormat="1" applyFont="1" applyFill="1" applyBorder="1" applyAlignment="1">
      <alignment horizontal="right"/>
    </xf>
    <xf numFmtId="0" fontId="27" fillId="5" borderId="0" xfId="2" applyFont="1" applyFill="1" applyBorder="1" applyAlignment="1"/>
    <xf numFmtId="3" fontId="28" fillId="5" borderId="0" xfId="2" applyNumberFormat="1" applyFont="1" applyFill="1" applyBorder="1" applyAlignment="1">
      <alignment horizontal="right"/>
    </xf>
    <xf numFmtId="0" fontId="9" fillId="5" borderId="29" xfId="2" applyFont="1" applyFill="1" applyBorder="1"/>
    <xf numFmtId="3" fontId="27" fillId="5" borderId="30" xfId="2" applyNumberFormat="1" applyFont="1" applyFill="1" applyBorder="1"/>
    <xf numFmtId="0" fontId="9" fillId="5" borderId="31" xfId="2" applyFont="1" applyFill="1" applyBorder="1"/>
    <xf numFmtId="0" fontId="9" fillId="2" borderId="29" xfId="2" applyFont="1" applyFill="1" applyBorder="1"/>
    <xf numFmtId="0" fontId="9" fillId="2" borderId="30" xfId="2" applyFont="1" applyFill="1" applyBorder="1"/>
    <xf numFmtId="0" fontId="9" fillId="2" borderId="31" xfId="2" applyFont="1" applyFill="1" applyBorder="1"/>
    <xf numFmtId="168" fontId="0" fillId="0" borderId="0" xfId="0" applyNumberFormat="1"/>
    <xf numFmtId="168" fontId="0" fillId="0" borderId="11" xfId="0" applyNumberFormat="1" applyBorder="1" applyAlignment="1">
      <alignment horizontal="right" vertical="center"/>
    </xf>
    <xf numFmtId="168" fontId="0" fillId="0" borderId="11" xfId="1" applyNumberFormat="1" applyFont="1" applyBorder="1"/>
    <xf numFmtId="0" fontId="3" fillId="0" borderId="0" xfId="0" applyFont="1" applyAlignment="1"/>
    <xf numFmtId="168" fontId="0" fillId="0" borderId="11" xfId="0" applyNumberFormat="1" applyBorder="1"/>
    <xf numFmtId="168" fontId="29" fillId="0" borderId="38" xfId="0" applyNumberFormat="1" applyFont="1" applyBorder="1"/>
    <xf numFmtId="0" fontId="0" fillId="0" borderId="15" xfId="0" applyBorder="1"/>
    <xf numFmtId="0" fontId="4" fillId="0" borderId="15" xfId="0" applyFont="1" applyBorder="1"/>
    <xf numFmtId="0" fontId="6" fillId="0" borderId="0" xfId="0" applyFont="1"/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165" fontId="4" fillId="0" borderId="42" xfId="1" applyNumberFormat="1" applyFont="1" applyBorder="1" applyAlignment="1">
      <alignment horizontal="center"/>
    </xf>
    <xf numFmtId="168" fontId="4" fillId="0" borderId="41" xfId="0" applyNumberFormat="1" applyFont="1" applyBorder="1" applyAlignment="1">
      <alignment horizontal="center"/>
    </xf>
    <xf numFmtId="169" fontId="0" fillId="0" borderId="15" xfId="0" applyNumberFormat="1" applyBorder="1"/>
    <xf numFmtId="42" fontId="0" fillId="0" borderId="0" xfId="0" applyNumberFormat="1"/>
    <xf numFmtId="42" fontId="4" fillId="0" borderId="41" xfId="0" applyNumberFormat="1" applyFont="1" applyBorder="1" applyAlignment="1">
      <alignment horizontal="center"/>
    </xf>
    <xf numFmtId="42" fontId="0" fillId="0" borderId="15" xfId="0" applyNumberFormat="1" applyBorder="1"/>
    <xf numFmtId="0" fontId="0" fillId="0" borderId="43" xfId="0" applyBorder="1"/>
    <xf numFmtId="0" fontId="0" fillId="0" borderId="44" xfId="0" applyBorder="1"/>
    <xf numFmtId="42" fontId="0" fillId="0" borderId="44" xfId="0" applyNumberFormat="1" applyBorder="1"/>
    <xf numFmtId="165" fontId="0" fillId="0" borderId="45" xfId="1" applyNumberFormat="1" applyFont="1" applyBorder="1"/>
    <xf numFmtId="0" fontId="0" fillId="0" borderId="37" xfId="0" applyBorder="1"/>
    <xf numFmtId="0" fontId="0" fillId="0" borderId="46" xfId="0" applyBorder="1"/>
    <xf numFmtId="0" fontId="0" fillId="0" borderId="47" xfId="0" applyBorder="1"/>
    <xf numFmtId="42" fontId="0" fillId="0" borderId="47" xfId="0" applyNumberFormat="1" applyBorder="1"/>
    <xf numFmtId="165" fontId="0" fillId="0" borderId="38" xfId="1" applyNumberFormat="1" applyFont="1" applyBorder="1"/>
    <xf numFmtId="169" fontId="0" fillId="0" borderId="44" xfId="0" applyNumberFormat="1" applyBorder="1"/>
    <xf numFmtId="169" fontId="0" fillId="0" borderId="47" xfId="0" applyNumberFormat="1" applyBorder="1"/>
    <xf numFmtId="0" fontId="6" fillId="0" borderId="40" xfId="0" applyFont="1" applyBorder="1"/>
    <xf numFmtId="0" fontId="6" fillId="0" borderId="41" xfId="0" applyFont="1" applyBorder="1"/>
    <xf numFmtId="168" fontId="6" fillId="0" borderId="41" xfId="0" applyNumberFormat="1" applyFont="1" applyBorder="1"/>
    <xf numFmtId="165" fontId="6" fillId="0" borderId="42" xfId="0" applyNumberFormat="1" applyFont="1" applyBorder="1"/>
    <xf numFmtId="42" fontId="6" fillId="0" borderId="41" xfId="0" applyNumberFormat="1" applyFont="1" applyBorder="1"/>
    <xf numFmtId="169" fontId="0" fillId="0" borderId="0" xfId="0" applyNumberFormat="1" applyBorder="1"/>
    <xf numFmtId="165" fontId="0" fillId="0" borderId="0" xfId="1" applyNumberFormat="1" applyFont="1" applyBorder="1"/>
    <xf numFmtId="42" fontId="0" fillId="0" borderId="0" xfId="0" applyNumberFormat="1" applyBorder="1"/>
    <xf numFmtId="165" fontId="3" fillId="0" borderId="4" xfId="0" applyNumberFormat="1" applyFont="1" applyBorder="1"/>
    <xf numFmtId="9" fontId="0" fillId="0" borderId="15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9" fontId="28" fillId="5" borderId="0" xfId="4" applyFont="1" applyFill="1" applyBorder="1" applyProtection="1"/>
    <xf numFmtId="165" fontId="4" fillId="0" borderId="0" xfId="0" applyNumberFormat="1" applyFont="1"/>
    <xf numFmtId="9" fontId="4" fillId="0" borderId="15" xfId="0" applyNumberFormat="1" applyFont="1" applyBorder="1" applyAlignment="1">
      <alignment horizontal="left"/>
    </xf>
    <xf numFmtId="0" fontId="4" fillId="0" borderId="0" xfId="0" applyFont="1"/>
    <xf numFmtId="0" fontId="31" fillId="0" borderId="12" xfId="5" applyFont="1" applyBorder="1" applyAlignment="1">
      <alignment horizontal="center"/>
    </xf>
    <xf numFmtId="0" fontId="32" fillId="0" borderId="14" xfId="5" applyFont="1" applyFill="1" applyBorder="1" applyAlignment="1">
      <alignment horizontal="center" vertical="center" wrapText="1"/>
    </xf>
    <xf numFmtId="0" fontId="33" fillId="0" borderId="7" xfId="5" applyFont="1" applyFill="1" applyBorder="1" applyAlignment="1">
      <alignment horizontal="center" vertical="center" wrapText="1"/>
    </xf>
    <xf numFmtId="171" fontId="33" fillId="0" borderId="12" xfId="6" applyNumberFormat="1" applyFont="1" applyFill="1" applyBorder="1" applyAlignment="1">
      <alignment horizontal="right" vertical="center" wrapText="1"/>
    </xf>
    <xf numFmtId="0" fontId="34" fillId="0" borderId="6" xfId="5" applyFont="1" applyFill="1" applyBorder="1" applyAlignment="1">
      <alignment vertical="center" wrapText="1"/>
    </xf>
    <xf numFmtId="0" fontId="35" fillId="0" borderId="48" xfId="5" applyFont="1" applyFill="1" applyBorder="1" applyAlignment="1">
      <alignment vertical="center" wrapText="1"/>
    </xf>
    <xf numFmtId="0" fontId="35" fillId="0" borderId="44" xfId="5" applyFont="1" applyFill="1" applyBorder="1" applyAlignment="1">
      <alignment vertical="center" wrapText="1"/>
    </xf>
    <xf numFmtId="171" fontId="35" fillId="0" borderId="49" xfId="6" applyNumberFormat="1" applyFont="1" applyFill="1" applyBorder="1" applyAlignment="1">
      <alignment horizontal="right" vertical="center" wrapText="1"/>
    </xf>
    <xf numFmtId="0" fontId="33" fillId="0" borderId="7" xfId="5" applyFont="1" applyFill="1" applyBorder="1" applyAlignment="1">
      <alignment vertical="center" wrapText="1"/>
    </xf>
    <xf numFmtId="0" fontId="35" fillId="0" borderId="5" xfId="5" applyFont="1" applyFill="1" applyBorder="1" applyAlignment="1">
      <alignment vertical="center" wrapText="1"/>
    </xf>
    <xf numFmtId="0" fontId="35" fillId="0" borderId="15" xfId="5" applyFont="1" applyFill="1" applyBorder="1" applyAlignment="1">
      <alignment vertical="center" wrapText="1"/>
    </xf>
    <xf numFmtId="171" fontId="35" fillId="0" borderId="33" xfId="6" applyNumberFormat="1" applyFont="1" applyFill="1" applyBorder="1" applyAlignment="1">
      <alignment horizontal="right" vertical="center" wrapText="1"/>
    </xf>
    <xf numFmtId="0" fontId="35" fillId="6" borderId="15" xfId="5" applyFont="1" applyFill="1" applyBorder="1" applyAlignment="1">
      <alignment vertical="center" wrapText="1"/>
    </xf>
    <xf numFmtId="0" fontId="35" fillId="0" borderId="7" xfId="5" applyFont="1" applyFill="1" applyBorder="1" applyAlignment="1">
      <alignment vertical="center" wrapText="1"/>
    </xf>
    <xf numFmtId="0" fontId="33" fillId="0" borderId="34" xfId="5" applyFont="1" applyFill="1" applyBorder="1" applyAlignment="1">
      <alignment vertical="center" wrapText="1"/>
    </xf>
    <xf numFmtId="0" fontId="35" fillId="0" borderId="43" xfId="5" applyFont="1" applyFill="1" applyBorder="1" applyAlignment="1">
      <alignment vertical="center" wrapText="1"/>
    </xf>
    <xf numFmtId="171" fontId="35" fillId="6" borderId="49" xfId="6" applyNumberFormat="1" applyFont="1" applyFill="1" applyBorder="1" applyAlignment="1">
      <alignment horizontal="right" vertical="center" wrapText="1"/>
    </xf>
    <xf numFmtId="0" fontId="33" fillId="0" borderId="2" xfId="5" applyFont="1" applyFill="1" applyBorder="1" applyAlignment="1">
      <alignment vertical="center" wrapText="1"/>
    </xf>
    <xf numFmtId="0" fontId="35" fillId="0" borderId="37" xfId="5" applyFont="1" applyFill="1" applyBorder="1" applyAlignment="1">
      <alignment vertical="center" wrapText="1"/>
    </xf>
    <xf numFmtId="171" fontId="35" fillId="6" borderId="33" xfId="6" applyNumberFormat="1" applyFont="1" applyFill="1" applyBorder="1" applyAlignment="1">
      <alignment horizontal="right" vertical="center" wrapText="1"/>
    </xf>
    <xf numFmtId="0" fontId="35" fillId="6" borderId="44" xfId="5" applyFont="1" applyFill="1" applyBorder="1" applyAlignment="1">
      <alignment vertical="center" wrapText="1"/>
    </xf>
    <xf numFmtId="0" fontId="34" fillId="0" borderId="34" xfId="5" applyFont="1" applyFill="1" applyBorder="1" applyAlignment="1">
      <alignment vertical="center" wrapText="1"/>
    </xf>
    <xf numFmtId="0" fontId="35" fillId="0" borderId="51" xfId="5" applyFont="1" applyFill="1" applyBorder="1" applyAlignment="1">
      <alignment vertical="center" wrapText="1"/>
    </xf>
    <xf numFmtId="0" fontId="35" fillId="0" borderId="52" xfId="5" applyFont="1" applyFill="1" applyBorder="1" applyAlignment="1">
      <alignment vertical="center" wrapText="1"/>
    </xf>
    <xf numFmtId="0" fontId="35" fillId="0" borderId="46" xfId="5" applyFont="1" applyFill="1" applyBorder="1" applyAlignment="1">
      <alignment vertical="center" wrapText="1"/>
    </xf>
    <xf numFmtId="0" fontId="35" fillId="6" borderId="13" xfId="5" applyFont="1" applyFill="1" applyBorder="1" applyAlignment="1">
      <alignment vertical="center" wrapText="1"/>
    </xf>
    <xf numFmtId="0" fontId="35" fillId="0" borderId="54" xfId="5" applyFont="1" applyFill="1" applyBorder="1" applyAlignment="1">
      <alignment vertical="center" wrapText="1"/>
    </xf>
    <xf numFmtId="171" fontId="35" fillId="6" borderId="56" xfId="6" applyNumberFormat="1" applyFont="1" applyFill="1" applyBorder="1" applyAlignment="1">
      <alignment horizontal="right" vertical="center" wrapText="1"/>
    </xf>
    <xf numFmtId="0" fontId="35" fillId="0" borderId="33" xfId="5" applyFont="1" applyFill="1" applyBorder="1" applyAlignment="1">
      <alignment vertical="center" wrapText="1"/>
    </xf>
    <xf numFmtId="0" fontId="35" fillId="6" borderId="52" xfId="5" applyFont="1" applyFill="1" applyBorder="1" applyAlignment="1">
      <alignment vertical="center" wrapText="1"/>
    </xf>
    <xf numFmtId="171" fontId="35" fillId="0" borderId="53" xfId="6" applyNumberFormat="1" applyFont="1" applyFill="1" applyBorder="1" applyAlignment="1">
      <alignment horizontal="right" vertical="center" wrapText="1"/>
    </xf>
    <xf numFmtId="0" fontId="35" fillId="0" borderId="57" xfId="5" applyFont="1" applyFill="1" applyBorder="1" applyAlignment="1">
      <alignment vertical="center" wrapText="1"/>
    </xf>
    <xf numFmtId="0" fontId="35" fillId="6" borderId="57" xfId="5" applyFont="1" applyFill="1" applyBorder="1" applyAlignment="1">
      <alignment vertical="center" wrapText="1"/>
    </xf>
    <xf numFmtId="0" fontId="35" fillId="0" borderId="58" xfId="5" applyFont="1" applyFill="1" applyBorder="1" applyAlignment="1">
      <alignment vertical="center" wrapText="1"/>
    </xf>
    <xf numFmtId="171" fontId="35" fillId="0" borderId="55" xfId="6" applyNumberFormat="1" applyFont="1" applyFill="1" applyBorder="1" applyAlignment="1">
      <alignment horizontal="right" vertical="center" wrapText="1"/>
    </xf>
    <xf numFmtId="0" fontId="35" fillId="0" borderId="59" xfId="5" applyFont="1" applyFill="1" applyBorder="1" applyAlignment="1">
      <alignment vertical="center" wrapText="1"/>
    </xf>
    <xf numFmtId="0" fontId="35" fillId="6" borderId="59" xfId="5" applyFont="1" applyFill="1" applyBorder="1" applyAlignment="1">
      <alignment vertical="center" wrapText="1"/>
    </xf>
    <xf numFmtId="0" fontId="35" fillId="0" borderId="60" xfId="5" applyFont="1" applyFill="1" applyBorder="1" applyAlignment="1">
      <alignment vertical="center" wrapText="1"/>
    </xf>
    <xf numFmtId="171" fontId="35" fillId="0" borderId="13" xfId="6" applyNumberFormat="1" applyFont="1" applyFill="1" applyBorder="1" applyAlignment="1">
      <alignment horizontal="right" vertical="center" wrapText="1"/>
    </xf>
    <xf numFmtId="0" fontId="36" fillId="0" borderId="52" xfId="0" applyFont="1" applyBorder="1"/>
    <xf numFmtId="0" fontId="37" fillId="0" borderId="52" xfId="0" applyFont="1" applyBorder="1"/>
    <xf numFmtId="0" fontId="37" fillId="0" borderId="52" xfId="0" applyFont="1" applyBorder="1" applyAlignment="1">
      <alignment wrapText="1"/>
    </xf>
    <xf numFmtId="0" fontId="37" fillId="0" borderId="53" xfId="0" applyFont="1" applyBorder="1"/>
    <xf numFmtId="0" fontId="34" fillId="0" borderId="37" xfId="5" applyFont="1" applyFill="1" applyBorder="1"/>
    <xf numFmtId="0" fontId="35" fillId="0" borderId="15" xfId="5" applyFont="1" applyFill="1" applyBorder="1"/>
    <xf numFmtId="0" fontId="35" fillId="0" borderId="15" xfId="5" applyFont="1" applyFill="1" applyBorder="1" applyAlignment="1"/>
    <xf numFmtId="0" fontId="35" fillId="0" borderId="15" xfId="5" applyFont="1" applyFill="1" applyBorder="1" applyAlignment="1">
      <alignment wrapText="1"/>
    </xf>
    <xf numFmtId="171" fontId="35" fillId="0" borderId="33" xfId="6" applyNumberFormat="1" applyFont="1" applyFill="1" applyBorder="1" applyAlignment="1">
      <alignment horizontal="right"/>
    </xf>
    <xf numFmtId="0" fontId="34" fillId="0" borderId="37" xfId="5" applyFont="1" applyFill="1" applyBorder="1" applyAlignment="1">
      <alignment wrapText="1"/>
    </xf>
    <xf numFmtId="0" fontId="33" fillId="0" borderId="37" xfId="5" applyFont="1" applyFill="1" applyBorder="1" applyAlignment="1">
      <alignment wrapText="1"/>
    </xf>
    <xf numFmtId="0" fontId="35" fillId="0" borderId="47" xfId="5" applyFont="1" applyFill="1" applyBorder="1"/>
    <xf numFmtId="0" fontId="35" fillId="0" borderId="47" xfId="5" applyFont="1" applyFill="1" applyBorder="1" applyAlignment="1"/>
    <xf numFmtId="0" fontId="35" fillId="0" borderId="47" xfId="5" applyFont="1" applyFill="1" applyBorder="1" applyAlignment="1">
      <alignment wrapText="1"/>
    </xf>
    <xf numFmtId="0" fontId="33" fillId="0" borderId="0" xfId="5" applyFont="1" applyFill="1"/>
    <xf numFmtId="0" fontId="35" fillId="0" borderId="0" xfId="5" applyFont="1" applyFill="1"/>
    <xf numFmtId="0" fontId="35" fillId="0" borderId="0" xfId="5" applyFont="1" applyFill="1" applyAlignment="1"/>
    <xf numFmtId="171" fontId="35" fillId="0" borderId="0" xfId="6" applyNumberFormat="1" applyFont="1" applyFill="1" applyAlignment="1">
      <alignment horizontal="right"/>
    </xf>
    <xf numFmtId="172" fontId="38" fillId="0" borderId="15" xfId="0" applyNumberFormat="1" applyFont="1" applyBorder="1" applyAlignment="1">
      <alignment wrapText="1"/>
    </xf>
    <xf numFmtId="172" fontId="5" fillId="0" borderId="0" xfId="0" applyNumberFormat="1" applyFont="1"/>
    <xf numFmtId="172" fontId="5" fillId="0" borderId="15" xfId="0" applyNumberFormat="1" applyFont="1" applyBorder="1"/>
    <xf numFmtId="172" fontId="38" fillId="0" borderId="15" xfId="0" applyNumberFormat="1" applyFont="1" applyBorder="1"/>
    <xf numFmtId="172" fontId="6" fillId="0" borderId="0" xfId="0" applyNumberFormat="1" applyFont="1"/>
    <xf numFmtId="0" fontId="40" fillId="0" borderId="0" xfId="0" applyFont="1"/>
    <xf numFmtId="172" fontId="38" fillId="0" borderId="50" xfId="0" applyNumberFormat="1" applyFont="1" applyBorder="1" applyAlignment="1">
      <alignment wrapText="1"/>
    </xf>
    <xf numFmtId="172" fontId="5" fillId="0" borderId="50" xfId="0" applyNumberFormat="1" applyFont="1" applyBorder="1"/>
    <xf numFmtId="173" fontId="0" fillId="0" borderId="0" xfId="7" applyNumberFormat="1" applyFont="1"/>
    <xf numFmtId="173" fontId="0" fillId="0" borderId="0" xfId="7" applyNumberFormat="1" applyFont="1" applyAlignment="1">
      <alignment horizontal="center" vertical="center"/>
    </xf>
    <xf numFmtId="173" fontId="0" fillId="0" borderId="0" xfId="7" applyNumberFormat="1" applyFont="1" applyAlignment="1">
      <alignment wrapText="1"/>
    </xf>
    <xf numFmtId="173" fontId="0" fillId="0" borderId="53" xfId="7" applyNumberFormat="1" applyFont="1" applyBorder="1"/>
    <xf numFmtId="173" fontId="0" fillId="0" borderId="62" xfId="7" applyNumberFormat="1" applyFont="1" applyBorder="1"/>
    <xf numFmtId="173" fontId="0" fillId="0" borderId="63" xfId="7" applyNumberFormat="1" applyFont="1" applyBorder="1"/>
    <xf numFmtId="173" fontId="0" fillId="0" borderId="15" xfId="7" applyNumberFormat="1" applyFont="1" applyBorder="1"/>
    <xf numFmtId="173" fontId="4" fillId="0" borderId="15" xfId="7" applyNumberFormat="1" applyFont="1" applyBorder="1" applyAlignment="1">
      <alignment horizontal="center" vertical="center" wrapText="1"/>
    </xf>
    <xf numFmtId="173" fontId="4" fillId="0" borderId="15" xfId="7" applyNumberFormat="1" applyFont="1" applyBorder="1" applyAlignment="1">
      <alignment wrapText="1"/>
    </xf>
    <xf numFmtId="173" fontId="0" fillId="0" borderId="15" xfId="7" applyNumberFormat="1" applyFont="1" applyBorder="1" applyAlignment="1">
      <alignment horizontal="center" vertical="center"/>
    </xf>
    <xf numFmtId="0" fontId="43" fillId="0" borderId="15" xfId="8" applyFont="1" applyFill="1" applyBorder="1" applyAlignment="1">
      <alignment horizontal="left" wrapText="1"/>
    </xf>
    <xf numFmtId="173" fontId="4" fillId="0" borderId="0" xfId="7" applyNumberFormat="1" applyFont="1" applyAlignment="1">
      <alignment horizontal="center" vertical="center"/>
    </xf>
    <xf numFmtId="173" fontId="4" fillId="0" borderId="0" xfId="7" applyNumberFormat="1" applyFont="1"/>
    <xf numFmtId="173" fontId="0" fillId="0" borderId="0" xfId="7" applyNumberFormat="1" applyFont="1" applyAlignment="1">
      <alignment horizontal="left" vertical="center"/>
    </xf>
    <xf numFmtId="174" fontId="0" fillId="0" borderId="0" xfId="7" applyNumberFormat="1" applyFont="1"/>
    <xf numFmtId="175" fontId="0" fillId="0" borderId="0" xfId="7" applyNumberFormat="1" applyFont="1"/>
    <xf numFmtId="173" fontId="0" fillId="0" borderId="0" xfId="7" applyNumberFormat="1" applyFont="1" applyAlignment="1"/>
    <xf numFmtId="43" fontId="0" fillId="0" borderId="0" xfId="7" applyNumberFormat="1" applyFont="1"/>
    <xf numFmtId="0" fontId="8" fillId="0" borderId="0" xfId="2" applyFont="1" applyFill="1" applyAlignment="1"/>
    <xf numFmtId="10" fontId="8" fillId="0" borderId="0" xfId="2" applyNumberFormat="1" applyFont="1" applyFill="1" applyAlignment="1"/>
    <xf numFmtId="9" fontId="0" fillId="0" borderId="0" xfId="4" applyFont="1"/>
    <xf numFmtId="3" fontId="0" fillId="0" borderId="0" xfId="0" applyNumberFormat="1"/>
    <xf numFmtId="176" fontId="0" fillId="0" borderId="0" xfId="0" applyNumberFormat="1"/>
    <xf numFmtId="0" fontId="0" fillId="0" borderId="0" xfId="0" applyAlignment="1">
      <alignment textRotation="255"/>
    </xf>
    <xf numFmtId="168" fontId="4" fillId="0" borderId="0" xfId="0" applyNumberFormat="1" applyFont="1"/>
    <xf numFmtId="42" fontId="4" fillId="0" borderId="0" xfId="0" applyNumberFormat="1" applyFont="1"/>
    <xf numFmtId="166" fontId="0" fillId="0" borderId="0" xfId="0" applyNumberFormat="1"/>
    <xf numFmtId="172" fontId="0" fillId="0" borderId="0" xfId="0" applyNumberFormat="1"/>
    <xf numFmtId="178" fontId="0" fillId="0" borderId="0" xfId="0" applyNumberFormat="1"/>
    <xf numFmtId="178" fontId="0" fillId="0" borderId="15" xfId="0" applyNumberFormat="1" applyBorder="1"/>
    <xf numFmtId="9" fontId="0" fillId="0" borderId="15" xfId="4" applyFont="1" applyBorder="1"/>
    <xf numFmtId="172" fontId="0" fillId="0" borderId="15" xfId="0" applyNumberFormat="1" applyBorder="1"/>
    <xf numFmtId="3" fontId="0" fillId="0" borderId="15" xfId="4" applyNumberFormat="1" applyFont="1" applyBorder="1"/>
    <xf numFmtId="10" fontId="0" fillId="0" borderId="15" xfId="4" applyNumberFormat="1" applyFont="1" applyBorder="1"/>
    <xf numFmtId="0" fontId="0" fillId="0" borderId="34" xfId="0" applyBorder="1"/>
    <xf numFmtId="0" fontId="0" fillId="0" borderId="35" xfId="0" applyBorder="1"/>
    <xf numFmtId="3" fontId="0" fillId="0" borderId="10" xfId="0" applyNumberFormat="1" applyBorder="1"/>
    <xf numFmtId="172" fontId="0" fillId="0" borderId="2" xfId="0" applyNumberFormat="1" applyBorder="1"/>
    <xf numFmtId="0" fontId="0" fillId="0" borderId="12" xfId="0" applyBorder="1"/>
    <xf numFmtId="0" fontId="0" fillId="0" borderId="36" xfId="0" applyBorder="1"/>
    <xf numFmtId="0" fontId="44" fillId="0" borderId="0" xfId="0" applyFont="1" applyAlignment="1">
      <alignment horizontal="center"/>
    </xf>
    <xf numFmtId="0" fontId="23" fillId="4" borderId="0" xfId="2" applyFont="1" applyFill="1" applyBorder="1" applyAlignment="1" applyProtection="1">
      <alignment horizontal="center"/>
    </xf>
    <xf numFmtId="0" fontId="9" fillId="4" borderId="0" xfId="2" applyFont="1" applyFill="1" applyBorder="1" applyAlignment="1" applyProtection="1">
      <alignment horizontal="center"/>
    </xf>
    <xf numFmtId="49" fontId="27" fillId="5" borderId="24" xfId="2" applyNumberFormat="1" applyFont="1" applyFill="1" applyBorder="1" applyAlignment="1" applyProtection="1">
      <alignment horizontal="center" shrinkToFit="1"/>
    </xf>
    <xf numFmtId="49" fontId="28" fillId="5" borderId="24" xfId="2" applyNumberFormat="1" applyFont="1" applyFill="1" applyBorder="1" applyAlignment="1" applyProtection="1">
      <alignment horizontal="center"/>
    </xf>
    <xf numFmtId="49" fontId="10" fillId="3" borderId="18" xfId="2" applyNumberFormat="1" applyFont="1" applyFill="1" applyBorder="1" applyAlignment="1" applyProtection="1">
      <alignment horizontal="center" vertical="center"/>
    </xf>
    <xf numFmtId="49" fontId="10" fillId="3" borderId="0" xfId="2" applyNumberFormat="1" applyFont="1" applyFill="1" applyBorder="1" applyAlignment="1" applyProtection="1">
      <alignment horizontal="center" vertical="center"/>
    </xf>
    <xf numFmtId="0" fontId="11" fillId="3" borderId="18" xfId="2" applyNumberFormat="1" applyFont="1" applyFill="1" applyBorder="1" applyAlignment="1" applyProtection="1">
      <alignment horizontal="right" vertical="center"/>
    </xf>
    <xf numFmtId="0" fontId="12" fillId="3" borderId="18" xfId="2" applyFont="1" applyFill="1" applyBorder="1" applyAlignment="1">
      <alignment horizontal="right"/>
    </xf>
    <xf numFmtId="0" fontId="12" fillId="3" borderId="24" xfId="2" applyFont="1" applyFill="1" applyBorder="1" applyAlignment="1">
      <alignment horizontal="right"/>
    </xf>
    <xf numFmtId="0" fontId="11" fillId="3" borderId="18" xfId="2" applyNumberFormat="1" applyFont="1" applyFill="1" applyBorder="1" applyAlignment="1" applyProtection="1">
      <alignment horizontal="left" vertical="center"/>
    </xf>
    <xf numFmtId="0" fontId="11" fillId="3" borderId="0" xfId="2" applyNumberFormat="1" applyFont="1" applyFill="1" applyBorder="1" applyAlignment="1" applyProtection="1">
      <alignment horizontal="left" vertical="center"/>
    </xf>
    <xf numFmtId="49" fontId="13" fillId="3" borderId="18" xfId="2" applyNumberFormat="1" applyFont="1" applyFill="1" applyBorder="1" applyAlignment="1" applyProtection="1">
      <alignment horizontal="left" vertical="center"/>
    </xf>
    <xf numFmtId="49" fontId="13" fillId="3" borderId="19" xfId="2" applyNumberFormat="1" applyFont="1" applyFill="1" applyBorder="1" applyAlignment="1" applyProtection="1">
      <alignment horizontal="left" vertical="center"/>
    </xf>
    <xf numFmtId="49" fontId="13" fillId="3" borderId="24" xfId="2" applyNumberFormat="1" applyFont="1" applyFill="1" applyBorder="1" applyAlignment="1" applyProtection="1">
      <alignment horizontal="left" vertical="center"/>
    </xf>
    <xf numFmtId="49" fontId="13" fillId="3" borderId="25" xfId="2" applyNumberFormat="1" applyFont="1" applyFill="1" applyBorder="1" applyAlignment="1" applyProtection="1">
      <alignment horizontal="left" vertical="center"/>
    </xf>
    <xf numFmtId="0" fontId="20" fillId="4" borderId="0" xfId="2" applyFont="1" applyFill="1" applyBorder="1" applyAlignment="1" applyProtection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37" xfId="0" applyBorder="1" applyAlignment="1">
      <alignment horizontal="left"/>
    </xf>
    <xf numFmtId="0" fontId="0" fillId="0" borderId="33" xfId="0" applyBorder="1" applyAlignment="1">
      <alignment horizontal="left"/>
    </xf>
    <xf numFmtId="0" fontId="6" fillId="0" borderId="39" xfId="0" applyFont="1" applyBorder="1" applyAlignment="1">
      <alignment horizontal="center"/>
    </xf>
    <xf numFmtId="0" fontId="30" fillId="0" borderId="0" xfId="0" applyFont="1" applyAlignment="1">
      <alignment horizontal="center"/>
    </xf>
    <xf numFmtId="172" fontId="38" fillId="0" borderId="58" xfId="0" applyNumberFormat="1" applyFont="1" applyBorder="1" applyAlignment="1">
      <alignment wrapText="1"/>
    </xf>
    <xf numFmtId="172" fontId="38" fillId="0" borderId="61" xfId="0" applyNumberFormat="1" applyFont="1" applyBorder="1" applyAlignment="1">
      <alignment wrapText="1"/>
    </xf>
    <xf numFmtId="0" fontId="39" fillId="0" borderId="0" xfId="5" applyFont="1" applyFill="1" applyAlignment="1">
      <alignment horizontal="center"/>
    </xf>
    <xf numFmtId="0" fontId="41" fillId="0" borderId="34" xfId="5" applyFont="1" applyBorder="1" applyAlignment="1">
      <alignment horizontal="center" vertical="center" wrapText="1"/>
    </xf>
    <xf numFmtId="0" fontId="41" fillId="0" borderId="35" xfId="5" applyFont="1" applyBorder="1" applyAlignment="1">
      <alignment horizontal="center" vertical="center" wrapText="1"/>
    </xf>
    <xf numFmtId="0" fontId="41" fillId="0" borderId="36" xfId="5" applyFont="1" applyBorder="1" applyAlignment="1">
      <alignment horizontal="center" vertical="center" wrapText="1"/>
    </xf>
    <xf numFmtId="0" fontId="41" fillId="0" borderId="12" xfId="5" applyFont="1" applyBorder="1" applyAlignment="1">
      <alignment horizontal="center" vertical="center" wrapText="1"/>
    </xf>
    <xf numFmtId="0" fontId="41" fillId="0" borderId="14" xfId="5" applyFont="1" applyBorder="1" applyAlignment="1">
      <alignment horizontal="center" vertical="center" wrapText="1"/>
    </xf>
    <xf numFmtId="0" fontId="41" fillId="0" borderId="9" xfId="5" applyFont="1" applyBorder="1" applyAlignment="1">
      <alignment horizontal="center" vertical="center" wrapText="1"/>
    </xf>
    <xf numFmtId="172" fontId="38" fillId="0" borderId="6" xfId="0" applyNumberFormat="1" applyFont="1" applyBorder="1" applyAlignment="1">
      <alignment horizontal="center" wrapText="1"/>
    </xf>
    <xf numFmtId="172" fontId="38" fillId="0" borderId="8" xfId="0" applyNumberFormat="1" applyFont="1" applyBorder="1" applyAlignment="1">
      <alignment horizontal="center" wrapText="1"/>
    </xf>
    <xf numFmtId="0" fontId="32" fillId="0" borderId="14" xfId="5" applyFont="1" applyBorder="1" applyAlignment="1">
      <alignment horizontal="center" vertical="center" wrapText="1"/>
    </xf>
    <xf numFmtId="178" fontId="0" fillId="0" borderId="0" xfId="0" applyNumberFormat="1" applyAlignment="1">
      <alignment horizontal="center"/>
    </xf>
    <xf numFmtId="172" fontId="0" fillId="0" borderId="0" xfId="0" applyNumberFormat="1" applyBorder="1"/>
    <xf numFmtId="172" fontId="40" fillId="0" borderId="36" xfId="0" applyNumberFormat="1" applyFont="1" applyBorder="1"/>
    <xf numFmtId="172" fontId="40" fillId="0" borderId="10" xfId="0" applyNumberFormat="1" applyFont="1" applyBorder="1"/>
    <xf numFmtId="172" fontId="0" fillId="0" borderId="10" xfId="0" applyNumberFormat="1" applyBorder="1"/>
    <xf numFmtId="172" fontId="0" fillId="0" borderId="10" xfId="4" applyNumberFormat="1" applyFont="1" applyBorder="1"/>
    <xf numFmtId="172" fontId="40" fillId="0" borderId="0" xfId="0" applyNumberFormat="1" applyFo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10" xfId="0" applyBorder="1" applyAlignment="1">
      <alignment textRotation="255" wrapText="1"/>
    </xf>
    <xf numFmtId="172" fontId="0" fillId="0" borderId="36" xfId="0" applyNumberFormat="1" applyBorder="1" applyAlignment="1"/>
    <xf numFmtId="172" fontId="0" fillId="0" borderId="9" xfId="0" applyNumberFormat="1" applyBorder="1"/>
    <xf numFmtId="0" fontId="0" fillId="0" borderId="34" xfId="0" applyBorder="1" applyAlignment="1"/>
    <xf numFmtId="0" fontId="0" fillId="0" borderId="2" xfId="0" applyFill="1" applyBorder="1"/>
    <xf numFmtId="172" fontId="2" fillId="0" borderId="9" xfId="0" applyNumberFormat="1" applyFont="1" applyBorder="1"/>
    <xf numFmtId="0" fontId="0" fillId="0" borderId="3" xfId="0" applyBorder="1"/>
    <xf numFmtId="172" fontId="0" fillId="0" borderId="4" xfId="0" applyNumberFormat="1" applyBorder="1"/>
    <xf numFmtId="0" fontId="4" fillId="0" borderId="3" xfId="0" applyFont="1" applyBorder="1"/>
    <xf numFmtId="172" fontId="2" fillId="0" borderId="4" xfId="0" applyNumberFormat="1" applyFont="1" applyBorder="1"/>
    <xf numFmtId="172" fontId="4" fillId="0" borderId="4" xfId="0" applyNumberFormat="1" applyFont="1" applyBorder="1"/>
    <xf numFmtId="172" fontId="6" fillId="0" borderId="4" xfId="0" applyNumberFormat="1" applyFont="1" applyBorder="1"/>
    <xf numFmtId="0" fontId="4" fillId="0" borderId="10" xfId="0" applyFont="1" applyBorder="1" applyAlignment="1">
      <alignment textRotation="255" wrapText="1"/>
    </xf>
    <xf numFmtId="172" fontId="3" fillId="0" borderId="1" xfId="0" applyNumberFormat="1" applyFont="1" applyBorder="1"/>
    <xf numFmtId="172" fontId="6" fillId="0" borderId="9" xfId="0" applyNumberFormat="1" applyFont="1" applyBorder="1"/>
    <xf numFmtId="0" fontId="44" fillId="0" borderId="0" xfId="0" applyFont="1" applyAlignment="1"/>
    <xf numFmtId="0" fontId="44" fillId="0" borderId="14" xfId="0" applyFont="1" applyBorder="1" applyAlignment="1">
      <alignment horizontal="center"/>
    </xf>
  </cellXfs>
  <cellStyles count="9">
    <cellStyle name="Hipervínculo" xfId="3" builtinId="8"/>
    <cellStyle name="Millares" xfId="7" builtinId="3"/>
    <cellStyle name="Millares 4" xfId="6"/>
    <cellStyle name="Moneda" xfId="1" builtinId="4"/>
    <cellStyle name="Normal" xfId="0" builtinId="0"/>
    <cellStyle name="Normal 2" xfId="2"/>
    <cellStyle name="Normal 4" xfId="5"/>
    <cellStyle name="Normal_COMUNIC 2011" xfId="8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tabSelected="1" topLeftCell="D1" workbookViewId="0">
      <selection activeCell="G78" sqref="G78"/>
    </sheetView>
  </sheetViews>
  <sheetFormatPr baseColWidth="10" defaultRowHeight="15" x14ac:dyDescent="0.25"/>
  <cols>
    <col min="1" max="1" width="5.5703125" customWidth="1"/>
    <col min="2" max="2" width="4" customWidth="1"/>
    <col min="4" max="4" width="17.5703125" customWidth="1"/>
    <col min="6" max="17" width="12.42578125" bestFit="1" customWidth="1"/>
    <col min="18" max="18" width="14" customWidth="1"/>
    <col min="19" max="19" width="15.140625" customWidth="1"/>
    <col min="20" max="22" width="14.140625" bestFit="1" customWidth="1"/>
    <col min="24" max="25" width="14.140625" bestFit="1" customWidth="1"/>
    <col min="257" max="257" width="5.5703125" customWidth="1"/>
    <col min="258" max="258" width="4" customWidth="1"/>
    <col min="260" max="260" width="17.5703125" customWidth="1"/>
    <col min="513" max="513" width="5.5703125" customWidth="1"/>
    <col min="514" max="514" width="4" customWidth="1"/>
    <col min="516" max="516" width="17.5703125" customWidth="1"/>
    <col min="769" max="769" width="5.5703125" customWidth="1"/>
    <col min="770" max="770" width="4" customWidth="1"/>
    <col min="772" max="772" width="17.5703125" customWidth="1"/>
    <col min="1025" max="1025" width="5.5703125" customWidth="1"/>
    <col min="1026" max="1026" width="4" customWidth="1"/>
    <col min="1028" max="1028" width="17.5703125" customWidth="1"/>
    <col min="1281" max="1281" width="5.5703125" customWidth="1"/>
    <col min="1282" max="1282" width="4" customWidth="1"/>
    <col min="1284" max="1284" width="17.5703125" customWidth="1"/>
    <col min="1537" max="1537" width="5.5703125" customWidth="1"/>
    <col min="1538" max="1538" width="4" customWidth="1"/>
    <col min="1540" max="1540" width="17.5703125" customWidth="1"/>
    <col min="1793" max="1793" width="5.5703125" customWidth="1"/>
    <col min="1794" max="1794" width="4" customWidth="1"/>
    <col min="1796" max="1796" width="17.5703125" customWidth="1"/>
    <col min="2049" max="2049" width="5.5703125" customWidth="1"/>
    <col min="2050" max="2050" width="4" customWidth="1"/>
    <col min="2052" max="2052" width="17.5703125" customWidth="1"/>
    <col min="2305" max="2305" width="5.5703125" customWidth="1"/>
    <col min="2306" max="2306" width="4" customWidth="1"/>
    <col min="2308" max="2308" width="17.5703125" customWidth="1"/>
    <col min="2561" max="2561" width="5.5703125" customWidth="1"/>
    <col min="2562" max="2562" width="4" customWidth="1"/>
    <col min="2564" max="2564" width="17.5703125" customWidth="1"/>
    <col min="2817" max="2817" width="5.5703125" customWidth="1"/>
    <col min="2818" max="2818" width="4" customWidth="1"/>
    <col min="2820" max="2820" width="17.5703125" customWidth="1"/>
    <col min="3073" max="3073" width="5.5703125" customWidth="1"/>
    <col min="3074" max="3074" width="4" customWidth="1"/>
    <col min="3076" max="3076" width="17.5703125" customWidth="1"/>
    <col min="3329" max="3329" width="5.5703125" customWidth="1"/>
    <col min="3330" max="3330" width="4" customWidth="1"/>
    <col min="3332" max="3332" width="17.5703125" customWidth="1"/>
    <col min="3585" max="3585" width="5.5703125" customWidth="1"/>
    <col min="3586" max="3586" width="4" customWidth="1"/>
    <col min="3588" max="3588" width="17.5703125" customWidth="1"/>
    <col min="3841" max="3841" width="5.5703125" customWidth="1"/>
    <col min="3842" max="3842" width="4" customWidth="1"/>
    <col min="3844" max="3844" width="17.5703125" customWidth="1"/>
    <col min="4097" max="4097" width="5.5703125" customWidth="1"/>
    <col min="4098" max="4098" width="4" customWidth="1"/>
    <col min="4100" max="4100" width="17.5703125" customWidth="1"/>
    <col min="4353" max="4353" width="5.5703125" customWidth="1"/>
    <col min="4354" max="4354" width="4" customWidth="1"/>
    <col min="4356" max="4356" width="17.5703125" customWidth="1"/>
    <col min="4609" max="4609" width="5.5703125" customWidth="1"/>
    <col min="4610" max="4610" width="4" customWidth="1"/>
    <col min="4612" max="4612" width="17.5703125" customWidth="1"/>
    <col min="4865" max="4865" width="5.5703125" customWidth="1"/>
    <col min="4866" max="4866" width="4" customWidth="1"/>
    <col min="4868" max="4868" width="17.5703125" customWidth="1"/>
    <col min="5121" max="5121" width="5.5703125" customWidth="1"/>
    <col min="5122" max="5122" width="4" customWidth="1"/>
    <col min="5124" max="5124" width="17.5703125" customWidth="1"/>
    <col min="5377" max="5377" width="5.5703125" customWidth="1"/>
    <col min="5378" max="5378" width="4" customWidth="1"/>
    <col min="5380" max="5380" width="17.5703125" customWidth="1"/>
    <col min="5633" max="5633" width="5.5703125" customWidth="1"/>
    <col min="5634" max="5634" width="4" customWidth="1"/>
    <col min="5636" max="5636" width="17.5703125" customWidth="1"/>
    <col min="5889" max="5889" width="5.5703125" customWidth="1"/>
    <col min="5890" max="5890" width="4" customWidth="1"/>
    <col min="5892" max="5892" width="17.5703125" customWidth="1"/>
    <col min="6145" max="6145" width="5.5703125" customWidth="1"/>
    <col min="6146" max="6146" width="4" customWidth="1"/>
    <col min="6148" max="6148" width="17.5703125" customWidth="1"/>
    <col min="6401" max="6401" width="5.5703125" customWidth="1"/>
    <col min="6402" max="6402" width="4" customWidth="1"/>
    <col min="6404" max="6404" width="17.5703125" customWidth="1"/>
    <col min="6657" max="6657" width="5.5703125" customWidth="1"/>
    <col min="6658" max="6658" width="4" customWidth="1"/>
    <col min="6660" max="6660" width="17.5703125" customWidth="1"/>
    <col min="6913" max="6913" width="5.5703125" customWidth="1"/>
    <col min="6914" max="6914" width="4" customWidth="1"/>
    <col min="6916" max="6916" width="17.5703125" customWidth="1"/>
    <col min="7169" max="7169" width="5.5703125" customWidth="1"/>
    <col min="7170" max="7170" width="4" customWidth="1"/>
    <col min="7172" max="7172" width="17.5703125" customWidth="1"/>
    <col min="7425" max="7425" width="5.5703125" customWidth="1"/>
    <col min="7426" max="7426" width="4" customWidth="1"/>
    <col min="7428" max="7428" width="17.5703125" customWidth="1"/>
    <col min="7681" max="7681" width="5.5703125" customWidth="1"/>
    <col min="7682" max="7682" width="4" customWidth="1"/>
    <col min="7684" max="7684" width="17.5703125" customWidth="1"/>
    <col min="7937" max="7937" width="5.5703125" customWidth="1"/>
    <col min="7938" max="7938" width="4" customWidth="1"/>
    <col min="7940" max="7940" width="17.5703125" customWidth="1"/>
    <col min="8193" max="8193" width="5.5703125" customWidth="1"/>
    <col min="8194" max="8194" width="4" customWidth="1"/>
    <col min="8196" max="8196" width="17.5703125" customWidth="1"/>
    <col min="8449" max="8449" width="5.5703125" customWidth="1"/>
    <col min="8450" max="8450" width="4" customWidth="1"/>
    <col min="8452" max="8452" width="17.5703125" customWidth="1"/>
    <col min="8705" max="8705" width="5.5703125" customWidth="1"/>
    <col min="8706" max="8706" width="4" customWidth="1"/>
    <col min="8708" max="8708" width="17.5703125" customWidth="1"/>
    <col min="8961" max="8961" width="5.5703125" customWidth="1"/>
    <col min="8962" max="8962" width="4" customWidth="1"/>
    <col min="8964" max="8964" width="17.5703125" customWidth="1"/>
    <col min="9217" max="9217" width="5.5703125" customWidth="1"/>
    <col min="9218" max="9218" width="4" customWidth="1"/>
    <col min="9220" max="9220" width="17.5703125" customWidth="1"/>
    <col min="9473" max="9473" width="5.5703125" customWidth="1"/>
    <col min="9474" max="9474" width="4" customWidth="1"/>
    <col min="9476" max="9476" width="17.5703125" customWidth="1"/>
    <col min="9729" max="9729" width="5.5703125" customWidth="1"/>
    <col min="9730" max="9730" width="4" customWidth="1"/>
    <col min="9732" max="9732" width="17.5703125" customWidth="1"/>
    <col min="9985" max="9985" width="5.5703125" customWidth="1"/>
    <col min="9986" max="9986" width="4" customWidth="1"/>
    <col min="9988" max="9988" width="17.5703125" customWidth="1"/>
    <col min="10241" max="10241" width="5.5703125" customWidth="1"/>
    <col min="10242" max="10242" width="4" customWidth="1"/>
    <col min="10244" max="10244" width="17.5703125" customWidth="1"/>
    <col min="10497" max="10497" width="5.5703125" customWidth="1"/>
    <col min="10498" max="10498" width="4" customWidth="1"/>
    <col min="10500" max="10500" width="17.5703125" customWidth="1"/>
    <col min="10753" max="10753" width="5.5703125" customWidth="1"/>
    <col min="10754" max="10754" width="4" customWidth="1"/>
    <col min="10756" max="10756" width="17.5703125" customWidth="1"/>
    <col min="11009" max="11009" width="5.5703125" customWidth="1"/>
    <col min="11010" max="11010" width="4" customWidth="1"/>
    <col min="11012" max="11012" width="17.5703125" customWidth="1"/>
    <col min="11265" max="11265" width="5.5703125" customWidth="1"/>
    <col min="11266" max="11266" width="4" customWidth="1"/>
    <col min="11268" max="11268" width="17.5703125" customWidth="1"/>
    <col min="11521" max="11521" width="5.5703125" customWidth="1"/>
    <col min="11522" max="11522" width="4" customWidth="1"/>
    <col min="11524" max="11524" width="17.5703125" customWidth="1"/>
    <col min="11777" max="11777" width="5.5703125" customWidth="1"/>
    <col min="11778" max="11778" width="4" customWidth="1"/>
    <col min="11780" max="11780" width="17.5703125" customWidth="1"/>
    <col min="12033" max="12033" width="5.5703125" customWidth="1"/>
    <col min="12034" max="12034" width="4" customWidth="1"/>
    <col min="12036" max="12036" width="17.5703125" customWidth="1"/>
    <col min="12289" max="12289" width="5.5703125" customWidth="1"/>
    <col min="12290" max="12290" width="4" customWidth="1"/>
    <col min="12292" max="12292" width="17.5703125" customWidth="1"/>
    <col min="12545" max="12545" width="5.5703125" customWidth="1"/>
    <col min="12546" max="12546" width="4" customWidth="1"/>
    <col min="12548" max="12548" width="17.5703125" customWidth="1"/>
    <col min="12801" max="12801" width="5.5703125" customWidth="1"/>
    <col min="12802" max="12802" width="4" customWidth="1"/>
    <col min="12804" max="12804" width="17.5703125" customWidth="1"/>
    <col min="13057" max="13057" width="5.5703125" customWidth="1"/>
    <col min="13058" max="13058" width="4" customWidth="1"/>
    <col min="13060" max="13060" width="17.5703125" customWidth="1"/>
    <col min="13313" max="13313" width="5.5703125" customWidth="1"/>
    <col min="13314" max="13314" width="4" customWidth="1"/>
    <col min="13316" max="13316" width="17.5703125" customWidth="1"/>
    <col min="13569" max="13569" width="5.5703125" customWidth="1"/>
    <col min="13570" max="13570" width="4" customWidth="1"/>
    <col min="13572" max="13572" width="17.5703125" customWidth="1"/>
    <col min="13825" max="13825" width="5.5703125" customWidth="1"/>
    <col min="13826" max="13826" width="4" customWidth="1"/>
    <col min="13828" max="13828" width="17.5703125" customWidth="1"/>
    <col min="14081" max="14081" width="5.5703125" customWidth="1"/>
    <col min="14082" max="14082" width="4" customWidth="1"/>
    <col min="14084" max="14084" width="17.5703125" customWidth="1"/>
    <col min="14337" max="14337" width="5.5703125" customWidth="1"/>
    <col min="14338" max="14338" width="4" customWidth="1"/>
    <col min="14340" max="14340" width="17.5703125" customWidth="1"/>
    <col min="14593" max="14593" width="5.5703125" customWidth="1"/>
    <col min="14594" max="14594" width="4" customWidth="1"/>
    <col min="14596" max="14596" width="17.5703125" customWidth="1"/>
    <col min="14849" max="14849" width="5.5703125" customWidth="1"/>
    <col min="14850" max="14850" width="4" customWidth="1"/>
    <col min="14852" max="14852" width="17.5703125" customWidth="1"/>
    <col min="15105" max="15105" width="5.5703125" customWidth="1"/>
    <col min="15106" max="15106" width="4" customWidth="1"/>
    <col min="15108" max="15108" width="17.5703125" customWidth="1"/>
    <col min="15361" max="15361" width="5.5703125" customWidth="1"/>
    <col min="15362" max="15362" width="4" customWidth="1"/>
    <col min="15364" max="15364" width="17.5703125" customWidth="1"/>
    <col min="15617" max="15617" width="5.5703125" customWidth="1"/>
    <col min="15618" max="15618" width="4" customWidth="1"/>
    <col min="15620" max="15620" width="17.5703125" customWidth="1"/>
    <col min="15873" max="15873" width="5.5703125" customWidth="1"/>
    <col min="15874" max="15874" width="4" customWidth="1"/>
    <col min="15876" max="15876" width="17.5703125" customWidth="1"/>
    <col min="16129" max="16129" width="5.5703125" customWidth="1"/>
    <col min="16130" max="16130" width="4" customWidth="1"/>
    <col min="16132" max="16132" width="17.5703125" customWidth="1"/>
  </cols>
  <sheetData>
    <row r="1" spans="1:27" x14ac:dyDescent="0.25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ht="15.75" x14ac:dyDescent="0.25">
      <c r="A2" s="42"/>
      <c r="B2" s="45"/>
      <c r="C2" s="46"/>
      <c r="D2" s="292" t="s">
        <v>79</v>
      </c>
      <c r="E2" s="292"/>
      <c r="F2" s="294" t="s">
        <v>80</v>
      </c>
      <c r="G2" s="295"/>
      <c r="H2" s="295"/>
      <c r="I2" s="297">
        <v>2025</v>
      </c>
      <c r="J2" s="299" t="s">
        <v>81</v>
      </c>
      <c r="K2" s="299"/>
      <c r="L2" s="299"/>
      <c r="M2" s="299"/>
      <c r="N2" s="300"/>
      <c r="O2" s="47"/>
      <c r="P2" s="48"/>
      <c r="Q2" s="49"/>
      <c r="R2" s="49"/>
      <c r="S2" s="49"/>
      <c r="T2" s="49"/>
      <c r="U2" s="49"/>
      <c r="V2" s="49"/>
      <c r="W2" s="49"/>
      <c r="X2" s="49"/>
      <c r="Y2" s="49"/>
      <c r="Z2" s="49"/>
      <c r="AA2" s="50"/>
    </row>
    <row r="3" spans="1:27" ht="15" customHeight="1" x14ac:dyDescent="0.25">
      <c r="A3" s="42"/>
      <c r="B3" s="51"/>
      <c r="C3" s="52"/>
      <c r="D3" s="293"/>
      <c r="E3" s="293"/>
      <c r="F3" s="296"/>
      <c r="G3" s="296"/>
      <c r="H3" s="296"/>
      <c r="I3" s="298"/>
      <c r="J3" s="301"/>
      <c r="K3" s="301"/>
      <c r="L3" s="301"/>
      <c r="M3" s="301"/>
      <c r="N3" s="302"/>
      <c r="O3" s="53"/>
      <c r="P3" s="54"/>
      <c r="Q3" s="54"/>
      <c r="R3" s="54"/>
      <c r="S3" s="54"/>
      <c r="T3" s="54"/>
      <c r="U3" s="54"/>
      <c r="V3" s="54"/>
      <c r="W3" s="54"/>
      <c r="X3" s="54"/>
      <c r="Y3" s="54"/>
      <c r="Z3" s="55"/>
      <c r="AA3" s="56"/>
    </row>
    <row r="4" spans="1:27" ht="9" customHeight="1" x14ac:dyDescent="0.25">
      <c r="A4" s="42"/>
      <c r="B4" s="57"/>
      <c r="C4" s="58"/>
      <c r="D4" s="59"/>
      <c r="E4" s="58"/>
      <c r="F4" s="58"/>
      <c r="G4" s="58"/>
      <c r="H4" s="58"/>
      <c r="I4" s="58"/>
      <c r="J4" s="60"/>
      <c r="K4" s="61"/>
      <c r="L4" s="61"/>
      <c r="M4" s="61"/>
      <c r="N4" s="62"/>
      <c r="O4" s="63"/>
      <c r="P4" s="63"/>
      <c r="Q4" s="64"/>
      <c r="R4" s="64"/>
      <c r="S4" s="64"/>
      <c r="T4" s="64"/>
      <c r="U4" s="64"/>
      <c r="V4" s="64"/>
      <c r="W4" s="64"/>
      <c r="X4" s="64"/>
      <c r="Y4" s="64"/>
      <c r="Z4" s="64"/>
      <c r="AA4" s="65"/>
    </row>
    <row r="5" spans="1:27" ht="4.5" customHeight="1" x14ac:dyDescent="0.25">
      <c r="A5" s="42"/>
      <c r="B5" s="66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  <c r="O5" s="63"/>
      <c r="P5" s="63"/>
      <c r="Q5" s="64"/>
      <c r="R5" s="64"/>
      <c r="S5" s="64"/>
      <c r="T5" s="64"/>
      <c r="U5" s="64"/>
      <c r="V5" s="64"/>
      <c r="W5" s="64"/>
      <c r="X5" s="64"/>
      <c r="Y5" s="64"/>
      <c r="Z5" s="64"/>
      <c r="AA5" s="65"/>
    </row>
    <row r="6" spans="1:27" ht="18" x14ac:dyDescent="0.25">
      <c r="A6" s="42"/>
      <c r="B6" s="69"/>
      <c r="C6" s="70"/>
      <c r="D6" s="303" t="s">
        <v>82</v>
      </c>
      <c r="E6" s="303"/>
      <c r="F6" s="303"/>
      <c r="G6" s="303"/>
      <c r="H6" s="303"/>
      <c r="I6" s="303"/>
      <c r="J6" s="303"/>
      <c r="K6" s="303"/>
      <c r="L6" s="303"/>
      <c r="M6" s="303"/>
      <c r="N6" s="71"/>
      <c r="O6" s="72"/>
      <c r="P6" s="72"/>
      <c r="Q6" s="72"/>
      <c r="R6" s="64"/>
      <c r="S6" s="64"/>
      <c r="T6" s="64"/>
      <c r="U6" s="64"/>
      <c r="V6" s="64"/>
      <c r="W6" s="64"/>
      <c r="X6" s="64"/>
      <c r="Y6" s="64"/>
      <c r="Z6" s="64"/>
      <c r="AA6" s="65"/>
    </row>
    <row r="7" spans="1:27" ht="15.75" x14ac:dyDescent="0.25">
      <c r="A7" s="42"/>
      <c r="B7" s="69"/>
      <c r="C7" s="70"/>
      <c r="D7" s="289" t="s">
        <v>83</v>
      </c>
      <c r="E7" s="289"/>
      <c r="F7" s="289"/>
      <c r="G7" s="289"/>
      <c r="H7" s="289"/>
      <c r="I7" s="289"/>
      <c r="J7" s="289"/>
      <c r="K7" s="289"/>
      <c r="L7" s="289"/>
      <c r="M7" s="289"/>
      <c r="N7" s="73"/>
      <c r="O7" s="74"/>
      <c r="P7" s="74"/>
      <c r="Q7" s="74"/>
      <c r="R7" s="64"/>
      <c r="S7" s="64"/>
      <c r="T7" s="64"/>
      <c r="U7" s="64"/>
      <c r="V7" s="64"/>
      <c r="W7" s="64"/>
      <c r="X7" s="64"/>
      <c r="Y7" s="64"/>
      <c r="Z7" s="64"/>
      <c r="AA7" s="65"/>
    </row>
    <row r="8" spans="1:27" ht="15.75" x14ac:dyDescent="0.25">
      <c r="A8" s="42"/>
      <c r="B8" s="69"/>
      <c r="C8" s="70"/>
      <c r="D8" s="288" t="s">
        <v>84</v>
      </c>
      <c r="E8" s="288"/>
      <c r="F8" s="288"/>
      <c r="G8" s="288"/>
      <c r="H8" s="288"/>
      <c r="I8" s="288"/>
      <c r="J8" s="288"/>
      <c r="K8" s="288"/>
      <c r="L8" s="288"/>
      <c r="M8" s="288"/>
      <c r="N8" s="75"/>
      <c r="O8" s="76"/>
      <c r="P8" s="76"/>
      <c r="Q8" s="76"/>
      <c r="R8" s="64"/>
      <c r="S8" s="64"/>
      <c r="T8" s="64"/>
      <c r="U8" s="64"/>
      <c r="V8" s="64"/>
      <c r="W8" s="64"/>
      <c r="X8" s="64"/>
      <c r="Y8" s="64"/>
      <c r="Z8" s="64"/>
      <c r="AA8" s="65"/>
    </row>
    <row r="9" spans="1:27" ht="15.75" x14ac:dyDescent="0.25">
      <c r="A9" s="42"/>
      <c r="B9" s="69"/>
      <c r="C9" s="70"/>
      <c r="D9" s="289" t="s">
        <v>85</v>
      </c>
      <c r="E9" s="289"/>
      <c r="F9" s="289"/>
      <c r="G9" s="289"/>
      <c r="H9" s="289"/>
      <c r="I9" s="289"/>
      <c r="J9" s="289"/>
      <c r="K9" s="289"/>
      <c r="L9" s="289"/>
      <c r="M9" s="289"/>
      <c r="N9" s="73"/>
      <c r="O9" s="74"/>
      <c r="P9" s="74"/>
      <c r="Q9" s="74"/>
      <c r="R9" s="64"/>
      <c r="S9" s="64"/>
      <c r="T9" s="64"/>
      <c r="U9" s="64"/>
      <c r="V9" s="64"/>
      <c r="W9" s="64"/>
      <c r="X9" s="64"/>
      <c r="Y9" s="64"/>
      <c r="Z9" s="64"/>
      <c r="AA9" s="65"/>
    </row>
    <row r="10" spans="1:27" ht="3" customHeight="1" x14ac:dyDescent="0.25">
      <c r="A10" s="42"/>
      <c r="B10" s="69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7"/>
      <c r="O10" s="63"/>
      <c r="P10" s="63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5"/>
    </row>
    <row r="11" spans="1:27" ht="3.75" customHeight="1" x14ac:dyDescent="0.25">
      <c r="A11" s="42"/>
      <c r="B11" s="78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80"/>
      <c r="O11" s="63"/>
      <c r="P11" s="63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5"/>
    </row>
    <row r="12" spans="1:27" ht="15.75" x14ac:dyDescent="0.25">
      <c r="A12" s="42"/>
      <c r="B12" s="81"/>
      <c r="C12" s="82"/>
      <c r="D12" s="83"/>
      <c r="E12" s="83"/>
      <c r="F12" s="82"/>
      <c r="G12" s="82"/>
      <c r="H12" s="82"/>
      <c r="I12" s="82"/>
      <c r="J12" s="82"/>
      <c r="K12" s="82"/>
      <c r="L12" s="82"/>
      <c r="M12" s="82"/>
      <c r="N12" s="82"/>
      <c r="O12" s="63"/>
      <c r="P12" s="63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5"/>
    </row>
    <row r="13" spans="1:27" x14ac:dyDescent="0.25">
      <c r="A13" s="42"/>
      <c r="B13" s="84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65"/>
    </row>
    <row r="14" spans="1:27" x14ac:dyDescent="0.25">
      <c r="A14" s="42"/>
      <c r="B14" s="87"/>
      <c r="C14" s="88"/>
      <c r="D14" s="290" t="s">
        <v>86</v>
      </c>
      <c r="E14" s="290"/>
      <c r="F14" s="290"/>
      <c r="G14" s="291" t="s">
        <v>87</v>
      </c>
      <c r="H14" s="291"/>
      <c r="I14" s="291"/>
      <c r="J14" s="291"/>
      <c r="K14" s="291"/>
      <c r="L14" s="291"/>
      <c r="M14" s="291"/>
      <c r="N14" s="291"/>
      <c r="O14" s="291"/>
      <c r="P14" s="291"/>
      <c r="Q14" s="89"/>
      <c r="R14" s="90">
        <v>2012</v>
      </c>
      <c r="S14" s="90"/>
      <c r="T14" s="90"/>
      <c r="U14" s="90"/>
      <c r="V14" s="90">
        <v>2013</v>
      </c>
      <c r="W14" s="90"/>
      <c r="X14" s="90"/>
      <c r="Y14" s="90">
        <v>2014</v>
      </c>
      <c r="Z14" s="90"/>
      <c r="AA14" s="65"/>
    </row>
    <row r="15" spans="1:27" x14ac:dyDescent="0.25">
      <c r="A15" s="42"/>
      <c r="B15" s="91"/>
      <c r="C15" s="88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65"/>
    </row>
    <row r="16" spans="1:27" x14ac:dyDescent="0.25">
      <c r="A16" s="42"/>
      <c r="B16" s="93"/>
      <c r="C16" s="88"/>
      <c r="D16" s="94" t="s">
        <v>88</v>
      </c>
      <c r="E16" s="95"/>
      <c r="F16" s="96" t="s">
        <v>89</v>
      </c>
      <c r="G16" s="96" t="s">
        <v>90</v>
      </c>
      <c r="H16" s="96" t="s">
        <v>91</v>
      </c>
      <c r="I16" s="96" t="s">
        <v>92</v>
      </c>
      <c r="J16" s="96" t="s">
        <v>93</v>
      </c>
      <c r="K16" s="96" t="s">
        <v>94</v>
      </c>
      <c r="L16" s="96" t="s">
        <v>95</v>
      </c>
      <c r="M16" s="96" t="s">
        <v>96</v>
      </c>
      <c r="N16" s="96" t="s">
        <v>97</v>
      </c>
      <c r="O16" s="96" t="s">
        <v>98</v>
      </c>
      <c r="P16" s="96" t="s">
        <v>99</v>
      </c>
      <c r="Q16" s="96" t="s">
        <v>100</v>
      </c>
      <c r="R16" s="97" t="s">
        <v>101</v>
      </c>
      <c r="S16" s="98" t="s">
        <v>102</v>
      </c>
      <c r="T16" s="98" t="s">
        <v>103</v>
      </c>
      <c r="U16" s="98" t="s">
        <v>104</v>
      </c>
      <c r="V16" s="97" t="s">
        <v>101</v>
      </c>
      <c r="W16" s="98" t="s">
        <v>102</v>
      </c>
      <c r="X16" s="98" t="s">
        <v>105</v>
      </c>
      <c r="Y16" s="97" t="s">
        <v>101</v>
      </c>
      <c r="Z16" s="98" t="s">
        <v>102</v>
      </c>
      <c r="AA16" s="65"/>
    </row>
    <row r="17" spans="1:27" ht="15.75" x14ac:dyDescent="0.25">
      <c r="A17" s="42"/>
      <c r="B17" s="93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65"/>
    </row>
    <row r="18" spans="1:27" x14ac:dyDescent="0.25">
      <c r="A18" s="42"/>
      <c r="B18" s="93"/>
      <c r="C18" s="101"/>
      <c r="D18" s="102" t="s">
        <v>106</v>
      </c>
      <c r="E18" s="102"/>
      <c r="F18" s="103">
        <f>+'PRESUPUESTO DE VENTAS'!C42</f>
        <v>341000000</v>
      </c>
      <c r="G18" s="103">
        <f>+'PRESUPUESTO DE VENTAS'!E42</f>
        <v>319000000</v>
      </c>
      <c r="H18" s="103">
        <f>+'PRESUPUESTO DE VENTAS'!G42</f>
        <v>341000000</v>
      </c>
      <c r="I18" s="103">
        <f>+'PRESUPUESTO DE VENTAS'!I42</f>
        <v>330000000</v>
      </c>
      <c r="J18" s="103">
        <f>+'PRESUPUESTO DE VENTAS'!G42</f>
        <v>341000000</v>
      </c>
      <c r="K18" s="103">
        <f>+'PRESUPUESTO DE VENTAS'!M42</f>
        <v>330000000</v>
      </c>
      <c r="L18" s="103">
        <f>+'PRESUPUESTO DE VENTAS'!O42</f>
        <v>341000000</v>
      </c>
      <c r="M18" s="103">
        <f>+'PRESUPUESTO DE VENTAS'!Q42</f>
        <v>341000000</v>
      </c>
      <c r="N18" s="103">
        <f>+'PRESUPUESTO DE VENTAS'!S42</f>
        <v>330000000</v>
      </c>
      <c r="O18" s="103">
        <f>+'PRESUPUESTO DE VENTAS'!U42</f>
        <v>341000000</v>
      </c>
      <c r="P18" s="103">
        <f>+'PRESUPUESTO DE VENTAS'!M42</f>
        <v>330000000</v>
      </c>
      <c r="Q18" s="103">
        <f>+'PRESUPUESTO DE VENTAS'!Y42</f>
        <v>341000000</v>
      </c>
      <c r="R18" s="104">
        <f>SUM(F18:Q18)</f>
        <v>4026000000</v>
      </c>
      <c r="S18" s="178">
        <v>0.04</v>
      </c>
      <c r="T18" s="104">
        <f>+'PRESUPUESTO DE VENTAS'!D46</f>
        <v>2072080000</v>
      </c>
      <c r="U18" s="104">
        <f>+'PRESUPUESTO DE VENTAS'!F46</f>
        <v>2094960000</v>
      </c>
      <c r="V18" s="104">
        <f>SUM(T18:U18)</f>
        <v>4167040000</v>
      </c>
      <c r="W18" s="178">
        <v>0.05</v>
      </c>
      <c r="X18" s="104">
        <f>+'PRESUPUESTO DE VENTAS'!E51</f>
        <v>4375392000</v>
      </c>
      <c r="Y18" s="104">
        <f>+X18</f>
        <v>4375392000</v>
      </c>
      <c r="Z18" s="104"/>
      <c r="AA18" s="65"/>
    </row>
    <row r="19" spans="1:27" x14ac:dyDescent="0.25">
      <c r="A19" s="42"/>
      <c r="B19" s="93"/>
      <c r="C19" s="101"/>
      <c r="D19" s="105" t="s">
        <v>107</v>
      </c>
      <c r="E19" s="106"/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0</v>
      </c>
      <c r="Q19" s="107">
        <v>0</v>
      </c>
      <c r="R19" s="108">
        <f>SUM(F19:Q19)</f>
        <v>0</v>
      </c>
      <c r="S19" s="109"/>
      <c r="T19" s="109"/>
      <c r="U19" s="109"/>
      <c r="V19" s="109"/>
      <c r="W19" s="109"/>
      <c r="X19" s="109"/>
      <c r="Y19" s="109"/>
      <c r="Z19" s="109"/>
      <c r="AA19" s="65"/>
    </row>
    <row r="20" spans="1:27" x14ac:dyDescent="0.25">
      <c r="A20" s="42"/>
      <c r="B20" s="93"/>
      <c r="C20" s="101"/>
      <c r="D20" s="102" t="s">
        <v>108</v>
      </c>
      <c r="E20" s="106"/>
      <c r="F20" s="103">
        <f>+F18-F19</f>
        <v>341000000</v>
      </c>
      <c r="G20" s="103">
        <f t="shared" ref="G20:Q20" si="0">+G18-G19</f>
        <v>319000000</v>
      </c>
      <c r="H20" s="103">
        <f t="shared" si="0"/>
        <v>341000000</v>
      </c>
      <c r="I20" s="103">
        <f t="shared" si="0"/>
        <v>330000000</v>
      </c>
      <c r="J20" s="103">
        <f t="shared" si="0"/>
        <v>341000000</v>
      </c>
      <c r="K20" s="103">
        <f t="shared" si="0"/>
        <v>330000000</v>
      </c>
      <c r="L20" s="103">
        <f t="shared" si="0"/>
        <v>341000000</v>
      </c>
      <c r="M20" s="103">
        <f t="shared" si="0"/>
        <v>341000000</v>
      </c>
      <c r="N20" s="103">
        <f t="shared" si="0"/>
        <v>330000000</v>
      </c>
      <c r="O20" s="103">
        <f t="shared" si="0"/>
        <v>341000000</v>
      </c>
      <c r="P20" s="103">
        <f t="shared" si="0"/>
        <v>330000000</v>
      </c>
      <c r="Q20" s="103">
        <f t="shared" si="0"/>
        <v>341000000</v>
      </c>
      <c r="R20" s="103">
        <f>SUM(F20:Q20)</f>
        <v>4026000000</v>
      </c>
      <c r="S20" s="109">
        <v>0.97</v>
      </c>
      <c r="T20" s="109"/>
      <c r="U20" s="109"/>
      <c r="V20" s="109"/>
      <c r="W20" s="109"/>
      <c r="X20" s="109"/>
      <c r="Y20" s="109"/>
      <c r="Z20" s="109"/>
      <c r="AA20" s="65"/>
    </row>
    <row r="21" spans="1:27" x14ac:dyDescent="0.25">
      <c r="A21" s="42"/>
      <c r="B21" s="93"/>
      <c r="C21" s="101"/>
      <c r="D21" s="105"/>
      <c r="E21" s="106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4"/>
      <c r="S21" s="104"/>
      <c r="T21" s="104"/>
      <c r="U21" s="104"/>
      <c r="V21" s="104"/>
      <c r="W21" s="104"/>
      <c r="X21" s="104"/>
      <c r="Y21" s="104"/>
      <c r="Z21" s="104"/>
      <c r="AA21" s="65"/>
    </row>
    <row r="22" spans="1:27" x14ac:dyDescent="0.25">
      <c r="A22" s="42"/>
      <c r="B22" s="93"/>
      <c r="C22" s="101"/>
      <c r="D22" s="94" t="s">
        <v>109</v>
      </c>
      <c r="E22" s="110"/>
      <c r="F22" s="111">
        <f>+F24+F25+F26+F27</f>
        <v>186000000</v>
      </c>
      <c r="G22" s="111">
        <f t="shared" ref="G22:Q22" si="1">+G24+G25+G26+G27</f>
        <v>174000000</v>
      </c>
      <c r="H22" s="111">
        <f t="shared" si="1"/>
        <v>186000000</v>
      </c>
      <c r="I22" s="111">
        <f t="shared" si="1"/>
        <v>180000000</v>
      </c>
      <c r="J22" s="111">
        <f t="shared" si="1"/>
        <v>186000000</v>
      </c>
      <c r="K22" s="111">
        <f t="shared" si="1"/>
        <v>180000000</v>
      </c>
      <c r="L22" s="111">
        <f t="shared" si="1"/>
        <v>186000000</v>
      </c>
      <c r="M22" s="111">
        <f t="shared" si="1"/>
        <v>186000000</v>
      </c>
      <c r="N22" s="111">
        <f t="shared" si="1"/>
        <v>180000000</v>
      </c>
      <c r="O22" s="111">
        <f t="shared" si="1"/>
        <v>186000000</v>
      </c>
      <c r="P22" s="111">
        <f t="shared" si="1"/>
        <v>180000000</v>
      </c>
      <c r="Q22" s="111">
        <f t="shared" si="1"/>
        <v>186000000</v>
      </c>
      <c r="R22" s="111">
        <f>SUM(F22:Q22)</f>
        <v>2196000000</v>
      </c>
      <c r="S22" s="112">
        <v>0.56794362798859399</v>
      </c>
      <c r="T22" s="112">
        <v>0.56794362798859399</v>
      </c>
      <c r="U22" s="112">
        <v>0.56794362798859399</v>
      </c>
      <c r="V22" s="112">
        <v>0.56794362798859399</v>
      </c>
      <c r="W22" s="112">
        <v>0.56794362798859399</v>
      </c>
      <c r="X22" s="112">
        <v>0.56794362798859399</v>
      </c>
      <c r="Y22" s="112"/>
      <c r="Z22" s="112">
        <v>0.56794362798859399</v>
      </c>
      <c r="AA22" s="65"/>
    </row>
    <row r="23" spans="1:27" x14ac:dyDescent="0.25">
      <c r="A23" s="42"/>
      <c r="B23" s="93"/>
      <c r="C23" s="101"/>
      <c r="D23" s="105"/>
      <c r="E23" s="106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4"/>
      <c r="S23" s="104"/>
      <c r="T23" s="104"/>
      <c r="U23" s="104"/>
      <c r="V23" s="104"/>
      <c r="W23" s="104"/>
      <c r="X23" s="104"/>
      <c r="Y23" s="104"/>
      <c r="Z23" s="104"/>
      <c r="AA23" s="65"/>
    </row>
    <row r="24" spans="1:27" x14ac:dyDescent="0.25">
      <c r="A24" s="42"/>
      <c r="B24" s="93"/>
      <c r="C24" s="101"/>
      <c r="D24" s="105" t="s">
        <v>110</v>
      </c>
      <c r="E24" s="106"/>
      <c r="F24" s="107">
        <f>+'COSTOS DE PAGO DE FLOTA'!C42</f>
        <v>186000000</v>
      </c>
      <c r="G24" s="107">
        <f>+'COSTOS DE PAGO DE FLOTA'!E42</f>
        <v>174000000</v>
      </c>
      <c r="H24" s="107">
        <f>+'COSTOS DE PAGO DE FLOTA'!G42</f>
        <v>186000000</v>
      </c>
      <c r="I24" s="107">
        <f>+'COSTOS DE PAGO DE FLOTA'!I42</f>
        <v>180000000</v>
      </c>
      <c r="J24" s="107">
        <f>+'COSTOS DE PAGO DE FLOTA'!K42</f>
        <v>186000000</v>
      </c>
      <c r="K24" s="107">
        <f>+'COSTOS DE PAGO DE FLOTA'!M42</f>
        <v>180000000</v>
      </c>
      <c r="L24" s="107">
        <f>+'COSTOS DE PAGO DE FLOTA'!O42</f>
        <v>186000000</v>
      </c>
      <c r="M24" s="107">
        <f>+'COSTOS DE PAGO DE FLOTA'!Q42</f>
        <v>186000000</v>
      </c>
      <c r="N24" s="107">
        <f>+'COSTOS DE PAGO DE FLOTA'!S42</f>
        <v>180000000</v>
      </c>
      <c r="O24" s="107">
        <f>+'COSTOS DE PAGO DE FLOTA'!U42</f>
        <v>186000000</v>
      </c>
      <c r="P24" s="107">
        <f>+'COSTOS DE PAGO DE FLOTA'!W42</f>
        <v>180000000</v>
      </c>
      <c r="Q24" s="107">
        <f>+'COSTOS DE PAGO DE FLOTA'!Y42</f>
        <v>186000000</v>
      </c>
      <c r="R24" s="107">
        <f>SUM(F24:Q24)</f>
        <v>2196000000</v>
      </c>
      <c r="S24" s="109">
        <v>0.5</v>
      </c>
      <c r="T24" s="109"/>
      <c r="U24" s="109"/>
      <c r="V24" s="109"/>
      <c r="W24" s="109"/>
      <c r="X24" s="109"/>
      <c r="Y24" s="109"/>
      <c r="Z24" s="109"/>
      <c r="AA24" s="65"/>
    </row>
    <row r="25" spans="1:27" x14ac:dyDescent="0.25">
      <c r="A25" s="42"/>
      <c r="B25" s="93"/>
      <c r="C25" s="101"/>
      <c r="D25" s="105" t="s">
        <v>111</v>
      </c>
      <c r="E25" s="106"/>
      <c r="F25" s="107">
        <v>0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8">
        <f>SUM(F25:Q25)</f>
        <v>0</v>
      </c>
      <c r="S25" s="109">
        <v>0.02</v>
      </c>
      <c r="T25" s="109"/>
      <c r="U25" s="109"/>
      <c r="V25" s="109"/>
      <c r="W25" s="109"/>
      <c r="X25" s="109"/>
      <c r="Y25" s="109"/>
      <c r="Z25" s="109"/>
      <c r="AA25" s="65"/>
    </row>
    <row r="26" spans="1:27" x14ac:dyDescent="0.25">
      <c r="A26" s="42"/>
      <c r="B26" s="93"/>
      <c r="C26" s="101"/>
      <c r="D26" s="105" t="s">
        <v>112</v>
      </c>
      <c r="E26" s="106"/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8">
        <f>SUM(F26:Q26)</f>
        <v>0</v>
      </c>
      <c r="S26" s="109">
        <v>3.6877604737881112E-2</v>
      </c>
      <c r="T26" s="109"/>
      <c r="U26" s="109"/>
      <c r="V26" s="109"/>
      <c r="W26" s="109"/>
      <c r="X26" s="109"/>
      <c r="Y26" s="109"/>
      <c r="Z26" s="109"/>
      <c r="AA26" s="65"/>
    </row>
    <row r="27" spans="1:27" x14ac:dyDescent="0.25">
      <c r="A27" s="42"/>
      <c r="B27" s="93"/>
      <c r="C27" s="101"/>
      <c r="D27" s="105"/>
      <c r="E27" s="106"/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8">
        <f>SUM(F27:Q27)</f>
        <v>0</v>
      </c>
      <c r="S27" s="109">
        <v>1.1066023250712875E-2</v>
      </c>
      <c r="T27" s="109"/>
      <c r="U27" s="109"/>
      <c r="V27" s="109"/>
      <c r="W27" s="109"/>
      <c r="X27" s="109"/>
      <c r="Y27" s="109"/>
      <c r="Z27" s="109"/>
      <c r="AA27" s="65"/>
    </row>
    <row r="28" spans="1:27" x14ac:dyDescent="0.25">
      <c r="A28" s="42"/>
      <c r="B28" s="93"/>
      <c r="C28" s="101"/>
      <c r="D28" s="105"/>
      <c r="E28" s="106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4"/>
      <c r="S28" s="104"/>
      <c r="T28" s="104"/>
      <c r="U28" s="104"/>
      <c r="V28" s="104"/>
      <c r="W28" s="104"/>
      <c r="X28" s="104"/>
      <c r="Y28" s="104"/>
      <c r="Z28" s="104"/>
      <c r="AA28" s="65"/>
    </row>
    <row r="29" spans="1:27" x14ac:dyDescent="0.25">
      <c r="A29" s="42"/>
      <c r="B29" s="93"/>
      <c r="C29" s="101"/>
      <c r="D29" s="94" t="s">
        <v>113</v>
      </c>
      <c r="E29" s="113"/>
      <c r="F29" s="111">
        <f>+F20-F22</f>
        <v>155000000</v>
      </c>
      <c r="G29" s="111">
        <f t="shared" ref="G29:R29" si="2">+G20-G22</f>
        <v>145000000</v>
      </c>
      <c r="H29" s="111">
        <f t="shared" si="2"/>
        <v>155000000</v>
      </c>
      <c r="I29" s="111">
        <f t="shared" si="2"/>
        <v>150000000</v>
      </c>
      <c r="J29" s="111">
        <f t="shared" si="2"/>
        <v>155000000</v>
      </c>
      <c r="K29" s="111">
        <f t="shared" si="2"/>
        <v>150000000</v>
      </c>
      <c r="L29" s="111">
        <f t="shared" si="2"/>
        <v>155000000</v>
      </c>
      <c r="M29" s="111">
        <f t="shared" si="2"/>
        <v>155000000</v>
      </c>
      <c r="N29" s="111">
        <f t="shared" si="2"/>
        <v>150000000</v>
      </c>
      <c r="O29" s="111">
        <f t="shared" si="2"/>
        <v>155000000</v>
      </c>
      <c r="P29" s="111">
        <f t="shared" si="2"/>
        <v>150000000</v>
      </c>
      <c r="Q29" s="111">
        <f t="shared" si="2"/>
        <v>155000000</v>
      </c>
      <c r="R29" s="111">
        <f t="shared" si="2"/>
        <v>1830000000</v>
      </c>
      <c r="S29" s="112">
        <v>0.43205637201140606</v>
      </c>
      <c r="T29" s="112">
        <v>0.43205637201140606</v>
      </c>
      <c r="U29" s="112">
        <v>0.43205637201140606</v>
      </c>
      <c r="V29" s="112">
        <v>0.43205637201140606</v>
      </c>
      <c r="W29" s="112">
        <v>0.43205637201140606</v>
      </c>
      <c r="X29" s="112">
        <v>0.43205637201140606</v>
      </c>
      <c r="Y29" s="112"/>
      <c r="Z29" s="112">
        <v>0.43205637201140606</v>
      </c>
      <c r="AA29" s="65"/>
    </row>
    <row r="30" spans="1:27" x14ac:dyDescent="0.25">
      <c r="A30" s="42"/>
      <c r="B30" s="93"/>
      <c r="C30" s="101"/>
      <c r="D30" s="105"/>
      <c r="E30" s="106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4"/>
      <c r="S30" s="104"/>
      <c r="T30" s="104"/>
      <c r="U30" s="104"/>
      <c r="V30" s="104"/>
      <c r="W30" s="104"/>
      <c r="X30" s="104"/>
      <c r="Y30" s="104"/>
      <c r="Z30" s="104"/>
      <c r="AA30" s="65"/>
    </row>
    <row r="31" spans="1:27" x14ac:dyDescent="0.25">
      <c r="A31" s="42"/>
      <c r="B31" s="93"/>
      <c r="C31" s="101"/>
      <c r="D31" s="94" t="s">
        <v>114</v>
      </c>
      <c r="E31" s="110"/>
      <c r="F31" s="111">
        <f>+F33+F41+F48</f>
        <v>69523873.666666657</v>
      </c>
      <c r="G31" s="111">
        <f t="shared" ref="G31:Q31" si="3">+G33+G41+G48</f>
        <v>35909873.666666664</v>
      </c>
      <c r="H31" s="111">
        <f t="shared" si="3"/>
        <v>35953873.666666664</v>
      </c>
      <c r="I31" s="111">
        <f t="shared" si="3"/>
        <v>35931873.666666664</v>
      </c>
      <c r="J31" s="111">
        <f t="shared" si="3"/>
        <v>35953873.666666664</v>
      </c>
      <c r="K31" s="111">
        <f t="shared" si="3"/>
        <v>35931873.666666664</v>
      </c>
      <c r="L31" s="111">
        <f t="shared" si="3"/>
        <v>35953873.666666664</v>
      </c>
      <c r="M31" s="111">
        <f t="shared" si="3"/>
        <v>35953873.666666664</v>
      </c>
      <c r="N31" s="111">
        <f t="shared" si="3"/>
        <v>35931873.666666664</v>
      </c>
      <c r="O31" s="111">
        <f t="shared" si="3"/>
        <v>35953873.666666664</v>
      </c>
      <c r="P31" s="111">
        <f t="shared" si="3"/>
        <v>35931873.666666664</v>
      </c>
      <c r="Q31" s="111">
        <f t="shared" si="3"/>
        <v>35953873.666666664</v>
      </c>
      <c r="R31" s="111">
        <f>SUM(F31:Q31)</f>
        <v>464884484.00000006</v>
      </c>
      <c r="S31" s="112">
        <v>0.25431563939460405</v>
      </c>
      <c r="T31" s="112">
        <v>0.25431563939460405</v>
      </c>
      <c r="U31" s="112">
        <v>0.25431563939460405</v>
      </c>
      <c r="V31" s="112">
        <v>0.25431563939460405</v>
      </c>
      <c r="W31" s="112">
        <v>0.25431563939460405</v>
      </c>
      <c r="X31" s="112">
        <v>0.25431563939460405</v>
      </c>
      <c r="Y31" s="112"/>
      <c r="Z31" s="112">
        <v>0.25431563939460405</v>
      </c>
      <c r="AA31" s="65"/>
    </row>
    <row r="32" spans="1:27" x14ac:dyDescent="0.25">
      <c r="A32" s="42"/>
      <c r="B32" s="93"/>
      <c r="C32" s="101"/>
      <c r="D32" s="105"/>
      <c r="E32" s="106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4"/>
      <c r="S32" s="104"/>
      <c r="T32" s="104"/>
      <c r="U32" s="104"/>
      <c r="V32" s="104"/>
      <c r="W32" s="104"/>
      <c r="X32" s="104"/>
      <c r="Y32" s="104"/>
      <c r="Z32" s="104"/>
      <c r="AA32" s="65"/>
    </row>
    <row r="33" spans="1:27" x14ac:dyDescent="0.25">
      <c r="A33" s="42"/>
      <c r="B33" s="93"/>
      <c r="C33" s="101"/>
      <c r="D33" s="102" t="s">
        <v>115</v>
      </c>
      <c r="E33" s="106"/>
      <c r="F33" s="103">
        <f>SUM(F34:F39)</f>
        <v>6250000</v>
      </c>
      <c r="G33" s="103">
        <f t="shared" ref="G33:Q33" si="4">SUM(G34:G39)</f>
        <v>0</v>
      </c>
      <c r="H33" s="103">
        <f t="shared" si="4"/>
        <v>0</v>
      </c>
      <c r="I33" s="103">
        <f t="shared" si="4"/>
        <v>0</v>
      </c>
      <c r="J33" s="103">
        <f t="shared" si="4"/>
        <v>0</v>
      </c>
      <c r="K33" s="103">
        <f t="shared" si="4"/>
        <v>0</v>
      </c>
      <c r="L33" s="103">
        <f t="shared" si="4"/>
        <v>0</v>
      </c>
      <c r="M33" s="103">
        <f t="shared" si="4"/>
        <v>0</v>
      </c>
      <c r="N33" s="103">
        <f t="shared" si="4"/>
        <v>0</v>
      </c>
      <c r="O33" s="103">
        <f t="shared" si="4"/>
        <v>0</v>
      </c>
      <c r="P33" s="103">
        <f t="shared" si="4"/>
        <v>0</v>
      </c>
      <c r="Q33" s="103">
        <f t="shared" si="4"/>
        <v>0</v>
      </c>
      <c r="R33" s="103">
        <f t="shared" ref="R33:R38" si="5">SUM(F33:Q33)</f>
        <v>6250000</v>
      </c>
      <c r="S33" s="114">
        <v>0.12921419170870804</v>
      </c>
      <c r="T33" s="114">
        <v>0.12921419170870804</v>
      </c>
      <c r="U33" s="114">
        <v>0.12921419170870804</v>
      </c>
      <c r="V33" s="114">
        <v>0.12921419170870804</v>
      </c>
      <c r="W33" s="114">
        <v>0.12921419170870804</v>
      </c>
      <c r="X33" s="114">
        <v>0.12921419170870804</v>
      </c>
      <c r="Y33" s="114"/>
      <c r="Z33" s="114">
        <v>0.12921419170870804</v>
      </c>
      <c r="AA33" s="65"/>
    </row>
    <row r="34" spans="1:27" x14ac:dyDescent="0.25">
      <c r="A34" s="42"/>
      <c r="B34" s="93"/>
      <c r="C34" s="101"/>
      <c r="D34" s="105" t="s">
        <v>116</v>
      </c>
      <c r="E34" s="106"/>
      <c r="F34" s="107">
        <v>0</v>
      </c>
      <c r="G34" s="107">
        <v>0</v>
      </c>
      <c r="H34" s="107">
        <v>0</v>
      </c>
      <c r="I34" s="107">
        <v>0</v>
      </c>
      <c r="J34" s="107">
        <v>0</v>
      </c>
      <c r="K34" s="107">
        <v>0</v>
      </c>
      <c r="L34" s="107">
        <v>0</v>
      </c>
      <c r="M34" s="107">
        <v>0</v>
      </c>
      <c r="N34" s="107">
        <v>0</v>
      </c>
      <c r="O34" s="107">
        <v>0</v>
      </c>
      <c r="P34" s="107">
        <v>0</v>
      </c>
      <c r="Q34" s="107">
        <v>0</v>
      </c>
      <c r="R34" s="108">
        <v>0</v>
      </c>
      <c r="S34" s="109">
        <v>9.5689844264093011E-3</v>
      </c>
      <c r="T34" s="109"/>
      <c r="U34" s="109"/>
      <c r="V34" s="109"/>
      <c r="W34" s="109"/>
      <c r="X34" s="109"/>
      <c r="Y34" s="109"/>
      <c r="Z34" s="109"/>
      <c r="AA34" s="65"/>
    </row>
    <row r="35" spans="1:27" x14ac:dyDescent="0.25">
      <c r="A35" s="42"/>
      <c r="B35" s="93"/>
      <c r="C35" s="101"/>
      <c r="D35" s="105" t="s">
        <v>117</v>
      </c>
      <c r="E35" s="106"/>
      <c r="F35" s="107">
        <v>0</v>
      </c>
      <c r="G35" s="107">
        <v>0</v>
      </c>
      <c r="H35" s="107">
        <v>0</v>
      </c>
      <c r="I35" s="107">
        <v>0</v>
      </c>
      <c r="J35" s="107">
        <v>0</v>
      </c>
      <c r="K35" s="107">
        <v>0</v>
      </c>
      <c r="L35" s="107">
        <v>0</v>
      </c>
      <c r="M35" s="107">
        <v>0</v>
      </c>
      <c r="N35" s="107">
        <v>0</v>
      </c>
      <c r="O35" s="107">
        <v>0</v>
      </c>
      <c r="P35" s="107">
        <v>0</v>
      </c>
      <c r="Q35" s="107">
        <v>0</v>
      </c>
      <c r="R35" s="108">
        <v>0</v>
      </c>
      <c r="S35" s="109">
        <v>0.05</v>
      </c>
      <c r="T35" s="109"/>
      <c r="U35" s="109"/>
      <c r="V35" s="109"/>
      <c r="W35" s="109"/>
      <c r="X35" s="109"/>
      <c r="Y35" s="109"/>
      <c r="Z35" s="109"/>
      <c r="AA35" s="65"/>
    </row>
    <row r="36" spans="1:27" x14ac:dyDescent="0.25">
      <c r="A36" s="42"/>
      <c r="B36" s="93"/>
      <c r="C36" s="101"/>
      <c r="D36" s="105" t="s">
        <v>118</v>
      </c>
      <c r="E36" s="106"/>
      <c r="F36" s="107">
        <v>0</v>
      </c>
      <c r="G36" s="107">
        <v>0</v>
      </c>
      <c r="H36" s="107">
        <v>0</v>
      </c>
      <c r="I36" s="107">
        <v>0</v>
      </c>
      <c r="J36" s="107">
        <v>0</v>
      </c>
      <c r="K36" s="107">
        <v>0</v>
      </c>
      <c r="L36" s="107">
        <v>0</v>
      </c>
      <c r="M36" s="107">
        <v>0</v>
      </c>
      <c r="N36" s="107">
        <v>0</v>
      </c>
      <c r="O36" s="107">
        <v>0</v>
      </c>
      <c r="P36" s="107">
        <v>0</v>
      </c>
      <c r="Q36" s="107">
        <v>0</v>
      </c>
      <c r="R36" s="108">
        <v>0</v>
      </c>
      <c r="S36" s="109">
        <v>0.05</v>
      </c>
      <c r="T36" s="109"/>
      <c r="U36" s="109"/>
      <c r="V36" s="109"/>
      <c r="W36" s="109"/>
      <c r="X36" s="109"/>
      <c r="Y36" s="109"/>
      <c r="Z36" s="109"/>
      <c r="AA36" s="65"/>
    </row>
    <row r="37" spans="1:27" x14ac:dyDescent="0.25">
      <c r="A37" s="42"/>
      <c r="B37" s="93"/>
      <c r="C37" s="101"/>
      <c r="D37" s="105" t="s">
        <v>119</v>
      </c>
      <c r="E37" s="106"/>
      <c r="F37" s="107">
        <v>0</v>
      </c>
      <c r="G37" s="107">
        <v>0</v>
      </c>
      <c r="H37" s="107">
        <v>0</v>
      </c>
      <c r="I37" s="107">
        <v>0</v>
      </c>
      <c r="J37" s="107">
        <v>0</v>
      </c>
      <c r="K37" s="107">
        <v>0</v>
      </c>
      <c r="L37" s="107">
        <v>0</v>
      </c>
      <c r="M37" s="107">
        <v>0</v>
      </c>
      <c r="N37" s="107">
        <v>0</v>
      </c>
      <c r="O37" s="107">
        <v>0</v>
      </c>
      <c r="P37" s="107">
        <v>0</v>
      </c>
      <c r="Q37" s="107">
        <v>0</v>
      </c>
      <c r="R37" s="108">
        <v>0</v>
      </c>
      <c r="S37" s="109">
        <v>1.5532463259486729E-2</v>
      </c>
      <c r="T37" s="109"/>
      <c r="U37" s="109"/>
      <c r="V37" s="109"/>
      <c r="W37" s="109"/>
      <c r="X37" s="109"/>
      <c r="Y37" s="109"/>
      <c r="Z37" s="109"/>
      <c r="AA37" s="65"/>
    </row>
    <row r="38" spans="1:27" x14ac:dyDescent="0.25">
      <c r="A38" s="42"/>
      <c r="B38" s="93"/>
      <c r="C38" s="101"/>
      <c r="D38" s="105" t="s">
        <v>120</v>
      </c>
      <c r="E38" s="106"/>
      <c r="F38" s="107">
        <v>0</v>
      </c>
      <c r="G38" s="107">
        <v>0</v>
      </c>
      <c r="H38" s="107">
        <v>0</v>
      </c>
      <c r="I38" s="107">
        <v>0</v>
      </c>
      <c r="J38" s="107">
        <v>0</v>
      </c>
      <c r="K38" s="107">
        <v>0</v>
      </c>
      <c r="L38" s="107">
        <v>0</v>
      </c>
      <c r="M38" s="107">
        <v>0</v>
      </c>
      <c r="N38" s="107">
        <v>0</v>
      </c>
      <c r="O38" s="107">
        <v>0</v>
      </c>
      <c r="P38" s="107">
        <v>0</v>
      </c>
      <c r="Q38" s="107">
        <v>0</v>
      </c>
      <c r="R38" s="108">
        <f t="shared" si="5"/>
        <v>0</v>
      </c>
      <c r="S38" s="109">
        <v>5.4836586970826936E-4</v>
      </c>
      <c r="T38" s="109"/>
      <c r="U38" s="109"/>
      <c r="V38" s="109"/>
      <c r="W38" s="109"/>
      <c r="X38" s="109"/>
      <c r="Y38" s="109"/>
      <c r="Z38" s="109"/>
      <c r="AA38" s="65"/>
    </row>
    <row r="39" spans="1:27" x14ac:dyDescent="0.25">
      <c r="A39" s="42"/>
      <c r="B39" s="93"/>
      <c r="C39" s="101"/>
      <c r="D39" s="105" t="s">
        <v>121</v>
      </c>
      <c r="E39" s="106"/>
      <c r="F39" s="107">
        <f>+'GASTOS DE VENTAS'!C11</f>
        <v>6250000</v>
      </c>
      <c r="G39" s="107">
        <v>0</v>
      </c>
      <c r="H39" s="107">
        <v>0</v>
      </c>
      <c r="I39" s="107">
        <v>0</v>
      </c>
      <c r="J39" s="107">
        <v>0</v>
      </c>
      <c r="K39" s="107">
        <v>0</v>
      </c>
      <c r="L39" s="107">
        <v>0</v>
      </c>
      <c r="M39" s="107">
        <v>0</v>
      </c>
      <c r="N39" s="107">
        <v>0</v>
      </c>
      <c r="O39" s="107">
        <v>0</v>
      </c>
      <c r="P39" s="107">
        <v>0</v>
      </c>
      <c r="Q39" s="107">
        <v>0</v>
      </c>
      <c r="R39" s="108">
        <f>SUM(F39:Q39)</f>
        <v>6250000</v>
      </c>
      <c r="S39" s="109">
        <v>3.564378153103751E-3</v>
      </c>
      <c r="T39" s="109"/>
      <c r="U39" s="109"/>
      <c r="V39" s="109"/>
      <c r="W39" s="109"/>
      <c r="X39" s="109"/>
      <c r="Y39" s="109"/>
      <c r="Z39" s="109"/>
      <c r="AA39" s="65"/>
    </row>
    <row r="40" spans="1:27" x14ac:dyDescent="0.25">
      <c r="A40" s="42"/>
      <c r="B40" s="93"/>
      <c r="C40" s="101"/>
      <c r="D40" s="105"/>
      <c r="E40" s="106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8"/>
      <c r="S40" s="109"/>
      <c r="T40" s="109"/>
      <c r="U40" s="109"/>
      <c r="V40" s="109"/>
      <c r="W40" s="109"/>
      <c r="X40" s="109"/>
      <c r="Y40" s="109"/>
      <c r="Z40" s="109"/>
      <c r="AA40" s="65"/>
    </row>
    <row r="41" spans="1:27" x14ac:dyDescent="0.25">
      <c r="A41" s="42"/>
      <c r="B41" s="93"/>
      <c r="C41" s="101"/>
      <c r="D41" s="102" t="s">
        <v>122</v>
      </c>
      <c r="E41" s="106"/>
      <c r="F41" s="103">
        <f>SUM(F42:F46)</f>
        <v>0</v>
      </c>
      <c r="G41" s="103">
        <f t="shared" ref="G41:Q41" si="6">SUM(G42:G46)</f>
        <v>0</v>
      </c>
      <c r="H41" s="103">
        <f t="shared" si="6"/>
        <v>0</v>
      </c>
      <c r="I41" s="103">
        <f t="shared" si="6"/>
        <v>0</v>
      </c>
      <c r="J41" s="103">
        <f t="shared" si="6"/>
        <v>0</v>
      </c>
      <c r="K41" s="103">
        <f t="shared" si="6"/>
        <v>0</v>
      </c>
      <c r="L41" s="103">
        <f t="shared" si="6"/>
        <v>0</v>
      </c>
      <c r="M41" s="103">
        <f t="shared" si="6"/>
        <v>0</v>
      </c>
      <c r="N41" s="103">
        <f t="shared" si="6"/>
        <v>0</v>
      </c>
      <c r="O41" s="103">
        <f t="shared" si="6"/>
        <v>0</v>
      </c>
      <c r="P41" s="103">
        <f t="shared" si="6"/>
        <v>0</v>
      </c>
      <c r="Q41" s="103">
        <f t="shared" si="6"/>
        <v>0</v>
      </c>
      <c r="R41" s="103">
        <f t="shared" ref="R41:R46" si="7">SUM(F41:Q41)</f>
        <v>0</v>
      </c>
      <c r="S41" s="103"/>
      <c r="T41" s="109"/>
      <c r="U41" s="109"/>
      <c r="V41" s="109"/>
      <c r="W41" s="109"/>
      <c r="X41" s="109"/>
      <c r="Y41" s="109"/>
      <c r="Z41" s="109"/>
      <c r="AA41" s="65"/>
    </row>
    <row r="42" spans="1:27" x14ac:dyDescent="0.25">
      <c r="A42" s="42"/>
      <c r="B42" s="93"/>
      <c r="C42" s="101"/>
      <c r="D42" s="105" t="s">
        <v>123</v>
      </c>
      <c r="E42" s="106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8">
        <f t="shared" si="7"/>
        <v>0</v>
      </c>
      <c r="S42" s="109"/>
      <c r="T42" s="109"/>
      <c r="U42" s="109"/>
      <c r="V42" s="109"/>
      <c r="W42" s="109"/>
      <c r="X42" s="109"/>
      <c r="Y42" s="109"/>
      <c r="Z42" s="109"/>
      <c r="AA42" s="65"/>
    </row>
    <row r="43" spans="1:27" x14ac:dyDescent="0.25">
      <c r="A43" s="42"/>
      <c r="B43" s="93"/>
      <c r="C43" s="101"/>
      <c r="D43" s="105" t="s">
        <v>124</v>
      </c>
      <c r="E43" s="106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8">
        <f t="shared" si="7"/>
        <v>0</v>
      </c>
      <c r="S43" s="109"/>
      <c r="T43" s="109"/>
      <c r="U43" s="109"/>
      <c r="V43" s="109"/>
      <c r="W43" s="109"/>
      <c r="X43" s="109"/>
      <c r="Y43" s="109"/>
      <c r="Z43" s="109"/>
      <c r="AA43" s="65"/>
    </row>
    <row r="44" spans="1:27" x14ac:dyDescent="0.25">
      <c r="A44" s="42"/>
      <c r="B44" s="93"/>
      <c r="C44" s="101"/>
      <c r="D44" s="105" t="s">
        <v>125</v>
      </c>
      <c r="E44" s="106"/>
      <c r="F44" s="107">
        <v>0</v>
      </c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8">
        <f t="shared" si="7"/>
        <v>0</v>
      </c>
      <c r="S44" s="109"/>
      <c r="T44" s="109"/>
      <c r="U44" s="109"/>
      <c r="V44" s="109"/>
      <c r="W44" s="109"/>
      <c r="X44" s="109"/>
      <c r="Y44" s="109"/>
      <c r="Z44" s="109"/>
      <c r="AA44" s="65"/>
    </row>
    <row r="45" spans="1:27" x14ac:dyDescent="0.25">
      <c r="A45" s="42"/>
      <c r="B45" s="93"/>
      <c r="C45" s="101"/>
      <c r="D45" s="105" t="s">
        <v>126</v>
      </c>
      <c r="E45" s="106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8">
        <f t="shared" si="7"/>
        <v>0</v>
      </c>
      <c r="S45" s="109"/>
      <c r="T45" s="109"/>
      <c r="U45" s="109"/>
      <c r="V45" s="109"/>
      <c r="W45" s="109"/>
      <c r="X45" s="109"/>
      <c r="Y45" s="109"/>
      <c r="Z45" s="109"/>
      <c r="AA45" s="65"/>
    </row>
    <row r="46" spans="1:27" x14ac:dyDescent="0.25">
      <c r="A46" s="42"/>
      <c r="B46" s="93"/>
      <c r="C46" s="101"/>
      <c r="D46" s="105" t="s">
        <v>127</v>
      </c>
      <c r="E46" s="106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8">
        <f t="shared" si="7"/>
        <v>0</v>
      </c>
      <c r="S46" s="109"/>
      <c r="T46" s="109"/>
      <c r="U46" s="109"/>
      <c r="V46" s="109"/>
      <c r="W46" s="109"/>
      <c r="X46" s="109"/>
      <c r="Y46" s="109"/>
      <c r="Z46" s="109"/>
      <c r="AA46" s="65"/>
    </row>
    <row r="47" spans="1:27" x14ac:dyDescent="0.25">
      <c r="A47" s="42"/>
      <c r="B47" s="93"/>
      <c r="C47" s="101"/>
      <c r="D47" s="102"/>
      <c r="E47" s="106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4"/>
      <c r="S47" s="104"/>
      <c r="T47" s="104"/>
      <c r="U47" s="104"/>
      <c r="V47" s="104"/>
      <c r="W47" s="104"/>
      <c r="X47" s="104"/>
      <c r="Y47" s="104"/>
      <c r="Z47" s="104"/>
      <c r="AA47" s="65"/>
    </row>
    <row r="48" spans="1:27" x14ac:dyDescent="0.25">
      <c r="A48" s="42"/>
      <c r="B48" s="93"/>
      <c r="C48" s="101"/>
      <c r="D48" s="102" t="s">
        <v>128</v>
      </c>
      <c r="E48" s="106"/>
      <c r="F48" s="103">
        <f>SUM(F49:F62)</f>
        <v>63273873.666666664</v>
      </c>
      <c r="G48" s="103">
        <f>SUM(G49:G62)</f>
        <v>35909873.666666664</v>
      </c>
      <c r="H48" s="103">
        <f t="shared" ref="G48:Q48" si="8">SUM(H49:H62)</f>
        <v>35953873.666666664</v>
      </c>
      <c r="I48" s="103">
        <f t="shared" si="8"/>
        <v>35931873.666666664</v>
      </c>
      <c r="J48" s="103">
        <f t="shared" si="8"/>
        <v>35953873.666666664</v>
      </c>
      <c r="K48" s="103">
        <f t="shared" si="8"/>
        <v>35931873.666666664</v>
      </c>
      <c r="L48" s="103">
        <f t="shared" si="8"/>
        <v>35953873.666666664</v>
      </c>
      <c r="M48" s="103">
        <f t="shared" si="8"/>
        <v>35953873.666666664</v>
      </c>
      <c r="N48" s="103">
        <f t="shared" si="8"/>
        <v>35931873.666666664</v>
      </c>
      <c r="O48" s="103">
        <f t="shared" si="8"/>
        <v>35953873.666666664</v>
      </c>
      <c r="P48" s="103">
        <f t="shared" si="8"/>
        <v>35931873.666666664</v>
      </c>
      <c r="Q48" s="103">
        <f t="shared" si="8"/>
        <v>35953873.666666664</v>
      </c>
      <c r="R48" s="103">
        <f>SUM(F48:Q48)</f>
        <v>458634484.00000006</v>
      </c>
      <c r="S48" s="114">
        <v>4.8064268479929811E-2</v>
      </c>
      <c r="T48" s="114">
        <v>4.8064268479929811E-2</v>
      </c>
      <c r="U48" s="114">
        <v>4.8064268479929811E-2</v>
      </c>
      <c r="V48" s="114">
        <v>4.8064268479929811E-2</v>
      </c>
      <c r="W48" s="114">
        <v>4.8064268479929811E-2</v>
      </c>
      <c r="X48" s="114">
        <v>4.8064268479929811E-2</v>
      </c>
      <c r="Y48" s="114"/>
      <c r="Z48" s="114">
        <v>4.8064268479929811E-2</v>
      </c>
      <c r="AA48" s="65"/>
    </row>
    <row r="49" spans="1:27" x14ac:dyDescent="0.25">
      <c r="A49" s="42"/>
      <c r="B49" s="93"/>
      <c r="C49" s="101"/>
      <c r="D49" s="105" t="s">
        <v>129</v>
      </c>
      <c r="E49" s="106"/>
      <c r="F49" s="107">
        <f>+NOMINAS!G25</f>
        <v>8285600</v>
      </c>
      <c r="G49" s="107">
        <f>+NOMINAS!G25</f>
        <v>8285600</v>
      </c>
      <c r="H49" s="107">
        <f>+NOMINAS!G25</f>
        <v>8285600</v>
      </c>
      <c r="I49" s="107">
        <f>+NOMINAS!G25</f>
        <v>8285600</v>
      </c>
      <c r="J49" s="107">
        <f>+NOMINAS!G25</f>
        <v>8285600</v>
      </c>
      <c r="K49" s="107">
        <f>+NOMINAS!G25</f>
        <v>8285600</v>
      </c>
      <c r="L49" s="107">
        <f>+NOMINAS!G25</f>
        <v>8285600</v>
      </c>
      <c r="M49" s="107">
        <f>+NOMINAS!G25</f>
        <v>8285600</v>
      </c>
      <c r="N49" s="107">
        <f>+NOMINAS!G25</f>
        <v>8285600</v>
      </c>
      <c r="O49" s="107">
        <f>+NOMINAS!G25</f>
        <v>8285600</v>
      </c>
      <c r="P49" s="107">
        <f>+NOMINAS!G25</f>
        <v>8285600</v>
      </c>
      <c r="Q49" s="107">
        <f>+NOMINAS!G25</f>
        <v>8285600</v>
      </c>
      <c r="R49" s="108">
        <f>SUM(F49:Q49)+NOMINAS!H29</f>
        <v>120776940</v>
      </c>
      <c r="S49" s="109">
        <v>4.2443518315420051E-2</v>
      </c>
      <c r="T49" s="109"/>
      <c r="U49" s="109"/>
      <c r="V49" s="109"/>
      <c r="W49" s="109"/>
      <c r="X49" s="109"/>
      <c r="Y49" s="109"/>
      <c r="Z49" s="109"/>
      <c r="AA49" s="65"/>
    </row>
    <row r="50" spans="1:27" x14ac:dyDescent="0.25">
      <c r="A50" s="42"/>
      <c r="B50" s="93"/>
      <c r="C50" s="101"/>
      <c r="D50" s="115" t="s">
        <v>130</v>
      </c>
      <c r="E50" s="106"/>
      <c r="F50" s="107">
        <v>1500000</v>
      </c>
      <c r="G50" s="107">
        <v>1500000</v>
      </c>
      <c r="H50" s="107">
        <v>1500000</v>
      </c>
      <c r="I50" s="107">
        <v>1500000</v>
      </c>
      <c r="J50" s="107">
        <v>1500000</v>
      </c>
      <c r="K50" s="107">
        <v>1500000</v>
      </c>
      <c r="L50" s="107">
        <v>1500000</v>
      </c>
      <c r="M50" s="107">
        <v>1500000</v>
      </c>
      <c r="N50" s="107">
        <v>1500000</v>
      </c>
      <c r="O50" s="107">
        <v>1500000</v>
      </c>
      <c r="P50" s="107">
        <v>1500000</v>
      </c>
      <c r="Q50" s="107">
        <v>1500000</v>
      </c>
      <c r="R50" s="108">
        <f>SUM(F50:Q50)</f>
        <v>18000000</v>
      </c>
      <c r="S50" s="109">
        <v>2.1934634788330775E-3</v>
      </c>
      <c r="T50" s="109"/>
      <c r="U50" s="109"/>
      <c r="V50" s="109"/>
      <c r="W50" s="109"/>
      <c r="X50" s="109"/>
      <c r="Y50" s="109"/>
      <c r="Z50" s="109"/>
      <c r="AA50" s="65"/>
    </row>
    <row r="51" spans="1:27" x14ac:dyDescent="0.25">
      <c r="A51" s="42"/>
      <c r="B51" s="93"/>
      <c r="C51" s="101"/>
      <c r="D51" s="115" t="s">
        <v>131</v>
      </c>
      <c r="E51" s="106"/>
      <c r="F51" s="107">
        <f>+F50*50%</f>
        <v>750000</v>
      </c>
      <c r="G51" s="107">
        <f t="shared" ref="G51:Q51" si="9">+G50*50%</f>
        <v>750000</v>
      </c>
      <c r="H51" s="107">
        <f t="shared" si="9"/>
        <v>750000</v>
      </c>
      <c r="I51" s="107">
        <f t="shared" si="9"/>
        <v>750000</v>
      </c>
      <c r="J51" s="107">
        <f t="shared" si="9"/>
        <v>750000</v>
      </c>
      <c r="K51" s="107">
        <f t="shared" si="9"/>
        <v>750000</v>
      </c>
      <c r="L51" s="107">
        <f t="shared" si="9"/>
        <v>750000</v>
      </c>
      <c r="M51" s="107">
        <f t="shared" si="9"/>
        <v>750000</v>
      </c>
      <c r="N51" s="107">
        <f t="shared" si="9"/>
        <v>750000</v>
      </c>
      <c r="O51" s="107">
        <f t="shared" si="9"/>
        <v>750000</v>
      </c>
      <c r="P51" s="107">
        <f t="shared" si="9"/>
        <v>750000</v>
      </c>
      <c r="Q51" s="107">
        <f t="shared" si="9"/>
        <v>750000</v>
      </c>
      <c r="R51" s="108">
        <f>SUM(F51:Q51)</f>
        <v>9000000</v>
      </c>
      <c r="S51" s="109">
        <v>4.11274402281202E-4</v>
      </c>
      <c r="T51" s="109"/>
      <c r="U51" s="109"/>
      <c r="V51" s="109"/>
      <c r="W51" s="109"/>
      <c r="X51" s="109"/>
      <c r="Y51" s="109"/>
      <c r="Z51" s="109"/>
      <c r="AA51" s="65"/>
    </row>
    <row r="52" spans="1:27" x14ac:dyDescent="0.25">
      <c r="A52" s="42"/>
      <c r="B52" s="93"/>
      <c r="C52" s="101"/>
      <c r="D52" s="115" t="s">
        <v>132</v>
      </c>
      <c r="E52" s="106"/>
      <c r="F52" s="107">
        <f>+F50*20%</f>
        <v>300000</v>
      </c>
      <c r="G52" s="107">
        <f t="shared" ref="G52:Q52" si="10">+G50*20%</f>
        <v>300000</v>
      </c>
      <c r="H52" s="107">
        <f t="shared" si="10"/>
        <v>300000</v>
      </c>
      <c r="I52" s="107">
        <f t="shared" si="10"/>
        <v>300000</v>
      </c>
      <c r="J52" s="107">
        <f t="shared" si="10"/>
        <v>300000</v>
      </c>
      <c r="K52" s="107">
        <f t="shared" si="10"/>
        <v>300000</v>
      </c>
      <c r="L52" s="107">
        <f t="shared" si="10"/>
        <v>300000</v>
      </c>
      <c r="M52" s="107">
        <f t="shared" si="10"/>
        <v>300000</v>
      </c>
      <c r="N52" s="107">
        <f t="shared" si="10"/>
        <v>300000</v>
      </c>
      <c r="O52" s="107">
        <f t="shared" si="10"/>
        <v>300000</v>
      </c>
      <c r="P52" s="107">
        <f t="shared" si="10"/>
        <v>300000</v>
      </c>
      <c r="Q52" s="107">
        <f t="shared" si="10"/>
        <v>300000</v>
      </c>
      <c r="R52" s="108">
        <f>SUM(F52:Q52)</f>
        <v>3600000</v>
      </c>
      <c r="S52" s="109">
        <v>5.4836586970826936E-4</v>
      </c>
      <c r="T52" s="109"/>
      <c r="U52" s="109"/>
      <c r="V52" s="109"/>
      <c r="W52" s="109"/>
      <c r="X52" s="109"/>
      <c r="Y52" s="109"/>
      <c r="Z52" s="109"/>
      <c r="AA52" s="65"/>
    </row>
    <row r="53" spans="1:27" x14ac:dyDescent="0.25">
      <c r="A53" s="42"/>
      <c r="B53" s="93"/>
      <c r="C53" s="101"/>
      <c r="D53" s="115" t="s">
        <v>133</v>
      </c>
      <c r="E53" s="106"/>
      <c r="F53" s="107">
        <f>+INVENTARIOS!I23+INVENTARIOS!D23-INVENTARIOS!D20</f>
        <v>27320000</v>
      </c>
      <c r="G53" s="107">
        <v>0</v>
      </c>
      <c r="H53" s="107">
        <v>0</v>
      </c>
      <c r="I53" s="107">
        <v>0</v>
      </c>
      <c r="J53" s="107">
        <v>0</v>
      </c>
      <c r="K53" s="107">
        <v>0</v>
      </c>
      <c r="L53" s="107">
        <v>0</v>
      </c>
      <c r="M53" s="107">
        <v>0</v>
      </c>
      <c r="N53" s="107">
        <v>0</v>
      </c>
      <c r="O53" s="107">
        <v>0</v>
      </c>
      <c r="P53" s="107">
        <v>0</v>
      </c>
      <c r="Q53" s="107">
        <v>0</v>
      </c>
      <c r="R53" s="108">
        <f>SUM(F53:Q53)</f>
        <v>27320000</v>
      </c>
      <c r="S53" s="109">
        <v>2.7418293485413468E-4</v>
      </c>
      <c r="T53" s="109"/>
      <c r="U53" s="109"/>
      <c r="V53" s="109"/>
      <c r="W53" s="109"/>
      <c r="X53" s="109"/>
      <c r="Y53" s="109"/>
      <c r="Z53" s="109"/>
      <c r="AA53" s="65"/>
    </row>
    <row r="54" spans="1:27" x14ac:dyDescent="0.25">
      <c r="A54" s="42"/>
      <c r="B54" s="93"/>
      <c r="C54" s="101"/>
      <c r="D54" s="115" t="s">
        <v>134</v>
      </c>
      <c r="E54" s="106"/>
      <c r="F54" s="107">
        <v>733500</v>
      </c>
      <c r="G54" s="107">
        <v>733500</v>
      </c>
      <c r="H54" s="107">
        <v>733500</v>
      </c>
      <c r="I54" s="107">
        <v>733500</v>
      </c>
      <c r="J54" s="107">
        <v>733500</v>
      </c>
      <c r="K54" s="107">
        <v>733500</v>
      </c>
      <c r="L54" s="107">
        <v>733500</v>
      </c>
      <c r="M54" s="107">
        <v>733500</v>
      </c>
      <c r="N54" s="107">
        <v>733500</v>
      </c>
      <c r="O54" s="107">
        <v>733500</v>
      </c>
      <c r="P54" s="107">
        <v>733500</v>
      </c>
      <c r="Q54" s="107">
        <v>733500</v>
      </c>
      <c r="R54" s="108">
        <f>SUM(F54:Q54)</f>
        <v>8802000</v>
      </c>
      <c r="S54" s="109">
        <v>1.3709146742706734E-4</v>
      </c>
      <c r="T54" s="109"/>
      <c r="U54" s="109"/>
      <c r="V54" s="109"/>
      <c r="W54" s="109"/>
      <c r="X54" s="109"/>
      <c r="Y54" s="109"/>
      <c r="Z54" s="109"/>
      <c r="AA54" s="65"/>
    </row>
    <row r="55" spans="1:27" x14ac:dyDescent="0.25">
      <c r="A55" s="42"/>
      <c r="B55" s="93"/>
      <c r="C55" s="101"/>
      <c r="D55" s="115" t="s">
        <v>321</v>
      </c>
      <c r="E55" s="106"/>
      <c r="F55" s="107">
        <f>+'costo de mantenimiento de vehic'!F29</f>
        <v>3021916.6666666665</v>
      </c>
      <c r="G55" s="107">
        <f>+F55</f>
        <v>3021916.6666666665</v>
      </c>
      <c r="H55" s="107">
        <f t="shared" ref="H55:Q55" si="11">+G55</f>
        <v>3021916.6666666665</v>
      </c>
      <c r="I55" s="107">
        <f t="shared" si="11"/>
        <v>3021916.6666666665</v>
      </c>
      <c r="J55" s="107">
        <f t="shared" si="11"/>
        <v>3021916.6666666665</v>
      </c>
      <c r="K55" s="107">
        <f t="shared" si="11"/>
        <v>3021916.6666666665</v>
      </c>
      <c r="L55" s="107">
        <f t="shared" si="11"/>
        <v>3021916.6666666665</v>
      </c>
      <c r="M55" s="107">
        <f t="shared" si="11"/>
        <v>3021916.6666666665</v>
      </c>
      <c r="N55" s="107">
        <f t="shared" si="11"/>
        <v>3021916.6666666665</v>
      </c>
      <c r="O55" s="107">
        <f t="shared" si="11"/>
        <v>3021916.6666666665</v>
      </c>
      <c r="P55" s="107">
        <f t="shared" si="11"/>
        <v>3021916.6666666665</v>
      </c>
      <c r="Q55" s="107">
        <f t="shared" si="11"/>
        <v>3021916.6666666665</v>
      </c>
      <c r="R55" s="108">
        <f>+'costo de mantenimiento de vehic'!H29</f>
        <v>23505000</v>
      </c>
      <c r="S55" s="109">
        <v>5.4836586970826936E-4</v>
      </c>
      <c r="T55" s="109">
        <v>0</v>
      </c>
      <c r="U55" s="109"/>
      <c r="V55" s="109"/>
      <c r="W55" s="109"/>
      <c r="X55" s="109"/>
      <c r="Y55" s="109"/>
      <c r="Z55" s="109"/>
      <c r="AA55" s="65"/>
    </row>
    <row r="56" spans="1:27" x14ac:dyDescent="0.25">
      <c r="A56" s="42"/>
      <c r="B56" s="93"/>
      <c r="C56" s="101"/>
      <c r="D56" s="115" t="s">
        <v>135</v>
      </c>
      <c r="E56" s="106"/>
      <c r="F56" s="107">
        <f>+F49*10%</f>
        <v>828560</v>
      </c>
      <c r="G56" s="107">
        <f t="shared" ref="G56:Q56" si="12">+G49*10%</f>
        <v>828560</v>
      </c>
      <c r="H56" s="107">
        <f t="shared" si="12"/>
        <v>828560</v>
      </c>
      <c r="I56" s="107">
        <f t="shared" si="12"/>
        <v>828560</v>
      </c>
      <c r="J56" s="107">
        <f t="shared" si="12"/>
        <v>828560</v>
      </c>
      <c r="K56" s="107">
        <f t="shared" si="12"/>
        <v>828560</v>
      </c>
      <c r="L56" s="107">
        <f t="shared" si="12"/>
        <v>828560</v>
      </c>
      <c r="M56" s="107">
        <f t="shared" si="12"/>
        <v>828560</v>
      </c>
      <c r="N56" s="107">
        <f t="shared" si="12"/>
        <v>828560</v>
      </c>
      <c r="O56" s="107">
        <f t="shared" si="12"/>
        <v>828560</v>
      </c>
      <c r="P56" s="107">
        <f t="shared" si="12"/>
        <v>828560</v>
      </c>
      <c r="Q56" s="107">
        <f t="shared" si="12"/>
        <v>828560</v>
      </c>
      <c r="R56" s="108">
        <f t="shared" ref="R56:R62" si="13">SUM(F56:Q56)</f>
        <v>9942720</v>
      </c>
      <c r="S56" s="109">
        <v>8.2254880456240399E-4</v>
      </c>
      <c r="T56" s="109"/>
      <c r="U56" s="109"/>
      <c r="V56" s="109"/>
      <c r="W56" s="109"/>
      <c r="X56" s="109"/>
      <c r="Y56" s="109"/>
      <c r="Z56" s="109"/>
      <c r="AA56" s="65"/>
    </row>
    <row r="57" spans="1:27" x14ac:dyDescent="0.25">
      <c r="A57" s="42"/>
      <c r="B57" s="93"/>
      <c r="C57" s="101"/>
      <c r="D57" s="115" t="s">
        <v>331</v>
      </c>
      <c r="E57" s="106"/>
      <c r="F57" s="107">
        <f>+F18*0.002</f>
        <v>682000</v>
      </c>
      <c r="G57" s="107">
        <f t="shared" ref="G57:Q57" si="14">+G18*0.002</f>
        <v>638000</v>
      </c>
      <c r="H57" s="107">
        <f t="shared" si="14"/>
        <v>682000</v>
      </c>
      <c r="I57" s="107">
        <f t="shared" si="14"/>
        <v>660000</v>
      </c>
      <c r="J57" s="107">
        <f t="shared" si="14"/>
        <v>682000</v>
      </c>
      <c r="K57" s="107">
        <f t="shared" si="14"/>
        <v>660000</v>
      </c>
      <c r="L57" s="107">
        <f t="shared" si="14"/>
        <v>682000</v>
      </c>
      <c r="M57" s="107">
        <f t="shared" si="14"/>
        <v>682000</v>
      </c>
      <c r="N57" s="107">
        <f t="shared" si="14"/>
        <v>660000</v>
      </c>
      <c r="O57" s="107">
        <f t="shared" si="14"/>
        <v>682000</v>
      </c>
      <c r="P57" s="107">
        <f t="shared" si="14"/>
        <v>660000</v>
      </c>
      <c r="Q57" s="107">
        <f t="shared" si="14"/>
        <v>682000</v>
      </c>
      <c r="R57" s="108">
        <f t="shared" si="13"/>
        <v>8052000</v>
      </c>
      <c r="S57" s="109">
        <v>5.4836586970826936E-4</v>
      </c>
      <c r="T57" s="109"/>
      <c r="U57" s="109"/>
      <c r="V57" s="109"/>
      <c r="W57" s="109"/>
      <c r="X57" s="109"/>
      <c r="Y57" s="109"/>
      <c r="Z57" s="109"/>
      <c r="AA57" s="65"/>
    </row>
    <row r="58" spans="1:27" x14ac:dyDescent="0.25">
      <c r="A58" s="42"/>
      <c r="B58" s="93"/>
      <c r="C58" s="101"/>
      <c r="D58" s="115" t="s">
        <v>298</v>
      </c>
      <c r="E58" s="106"/>
      <c r="F58" s="107">
        <v>2100000</v>
      </c>
      <c r="G58" s="107">
        <v>2100000</v>
      </c>
      <c r="H58" s="107">
        <v>2100000</v>
      </c>
      <c r="I58" s="107">
        <v>2100000</v>
      </c>
      <c r="J58" s="107">
        <v>2100000</v>
      </c>
      <c r="K58" s="107">
        <v>2100000</v>
      </c>
      <c r="L58" s="107">
        <v>2100000</v>
      </c>
      <c r="M58" s="107">
        <v>2100000</v>
      </c>
      <c r="N58" s="107">
        <v>2100000</v>
      </c>
      <c r="O58" s="107">
        <v>2100000</v>
      </c>
      <c r="P58" s="107">
        <v>2100000</v>
      </c>
      <c r="Q58" s="107">
        <v>2100000</v>
      </c>
      <c r="R58" s="108">
        <f t="shared" si="13"/>
        <v>25200000</v>
      </c>
      <c r="S58" s="109">
        <v>1.3709146742706734E-4</v>
      </c>
      <c r="T58" s="109"/>
      <c r="U58" s="109"/>
      <c r="V58" s="109"/>
      <c r="W58" s="109"/>
      <c r="X58" s="109"/>
      <c r="Y58" s="109"/>
      <c r="Z58" s="109"/>
      <c r="AA58" s="65"/>
    </row>
    <row r="59" spans="1:27" x14ac:dyDescent="0.25">
      <c r="A59" s="42"/>
      <c r="B59" s="93"/>
      <c r="C59" s="101"/>
      <c r="D59" s="115" t="s">
        <v>324</v>
      </c>
      <c r="E59" s="106"/>
      <c r="F59" s="107">
        <v>1000000</v>
      </c>
      <c r="G59" s="107">
        <v>1000000</v>
      </c>
      <c r="H59" s="107">
        <v>1000000</v>
      </c>
      <c r="I59" s="107">
        <v>1000000</v>
      </c>
      <c r="J59" s="107">
        <v>1000000</v>
      </c>
      <c r="K59" s="107">
        <v>1000000</v>
      </c>
      <c r="L59" s="107">
        <v>1000000</v>
      </c>
      <c r="M59" s="107">
        <v>1000000</v>
      </c>
      <c r="N59" s="107">
        <v>1000000</v>
      </c>
      <c r="O59" s="107">
        <v>1000000</v>
      </c>
      <c r="P59" s="107">
        <v>1000000</v>
      </c>
      <c r="Q59" s="107">
        <v>1000000</v>
      </c>
      <c r="R59" s="108">
        <f t="shared" si="13"/>
        <v>12000000</v>
      </c>
      <c r="S59" s="109"/>
      <c r="T59" s="109"/>
      <c r="U59" s="109"/>
      <c r="V59" s="109"/>
      <c r="W59" s="109"/>
      <c r="X59" s="109"/>
      <c r="Y59" s="109"/>
      <c r="Z59" s="109"/>
      <c r="AA59" s="65"/>
    </row>
    <row r="60" spans="1:27" x14ac:dyDescent="0.25">
      <c r="A60" s="42"/>
      <c r="B60" s="93"/>
      <c r="C60" s="101"/>
      <c r="D60" s="115" t="s">
        <v>319</v>
      </c>
      <c r="E60" s="106"/>
      <c r="F60" s="107">
        <v>6000000</v>
      </c>
      <c r="G60" s="107">
        <v>6000000</v>
      </c>
      <c r="H60" s="107">
        <v>6000000</v>
      </c>
      <c r="I60" s="107">
        <v>6000000</v>
      </c>
      <c r="J60" s="107">
        <v>6000000</v>
      </c>
      <c r="K60" s="107">
        <v>6000000</v>
      </c>
      <c r="L60" s="107">
        <v>6000000</v>
      </c>
      <c r="M60" s="107">
        <v>6000000</v>
      </c>
      <c r="N60" s="107">
        <v>6000000</v>
      </c>
      <c r="O60" s="107">
        <v>6000000</v>
      </c>
      <c r="P60" s="107">
        <v>6000000</v>
      </c>
      <c r="Q60" s="107">
        <v>6000000</v>
      </c>
      <c r="R60" s="108">
        <f t="shared" si="13"/>
        <v>72000000</v>
      </c>
      <c r="S60" s="109">
        <v>0</v>
      </c>
      <c r="T60" s="109"/>
      <c r="U60" s="109"/>
      <c r="V60" s="109"/>
      <c r="W60" s="109"/>
      <c r="X60" s="109"/>
      <c r="Y60" s="109"/>
      <c r="Z60" s="109"/>
      <c r="AA60" s="65"/>
    </row>
    <row r="61" spans="1:27" x14ac:dyDescent="0.25">
      <c r="A61" s="42"/>
      <c r="B61" s="93"/>
      <c r="C61" s="101"/>
      <c r="D61" s="115" t="s">
        <v>330</v>
      </c>
      <c r="E61" s="106"/>
      <c r="F61" s="107">
        <f>+F18*1.5%</f>
        <v>5115000</v>
      </c>
      <c r="G61" s="107">
        <f>+F61</f>
        <v>5115000</v>
      </c>
      <c r="H61" s="107">
        <f t="shared" ref="H61:Q61" si="15">+G61</f>
        <v>5115000</v>
      </c>
      <c r="I61" s="107">
        <f t="shared" si="15"/>
        <v>5115000</v>
      </c>
      <c r="J61" s="107">
        <f t="shared" si="15"/>
        <v>5115000</v>
      </c>
      <c r="K61" s="107">
        <f t="shared" si="15"/>
        <v>5115000</v>
      </c>
      <c r="L61" s="107">
        <f t="shared" si="15"/>
        <v>5115000</v>
      </c>
      <c r="M61" s="107">
        <f t="shared" si="15"/>
        <v>5115000</v>
      </c>
      <c r="N61" s="107">
        <f t="shared" si="15"/>
        <v>5115000</v>
      </c>
      <c r="O61" s="107">
        <f t="shared" si="15"/>
        <v>5115000</v>
      </c>
      <c r="P61" s="107">
        <f t="shared" si="15"/>
        <v>5115000</v>
      </c>
      <c r="Q61" s="107">
        <f t="shared" si="15"/>
        <v>5115000</v>
      </c>
      <c r="R61" s="108">
        <f t="shared" si="13"/>
        <v>61380000</v>
      </c>
      <c r="S61" s="109">
        <v>0</v>
      </c>
      <c r="T61" s="109"/>
      <c r="U61" s="109"/>
      <c r="V61" s="109"/>
      <c r="W61" s="109"/>
      <c r="X61" s="109"/>
      <c r="Y61" s="109"/>
      <c r="Z61" s="109"/>
      <c r="AA61" s="65"/>
    </row>
    <row r="62" spans="1:27" x14ac:dyDescent="0.25">
      <c r="A62" s="42"/>
      <c r="B62" s="93"/>
      <c r="C62" s="101"/>
      <c r="D62" s="105" t="s">
        <v>345</v>
      </c>
      <c r="E62" s="106"/>
      <c r="F62" s="107">
        <v>5637297</v>
      </c>
      <c r="G62" s="107">
        <v>5637297</v>
      </c>
      <c r="H62" s="107">
        <v>5637297</v>
      </c>
      <c r="I62" s="107">
        <v>5637297</v>
      </c>
      <c r="J62" s="107">
        <v>5637297</v>
      </c>
      <c r="K62" s="107">
        <v>5637297</v>
      </c>
      <c r="L62" s="107">
        <v>5637297</v>
      </c>
      <c r="M62" s="107">
        <v>5637297</v>
      </c>
      <c r="N62" s="107">
        <v>5637297</v>
      </c>
      <c r="O62" s="107">
        <v>5637297</v>
      </c>
      <c r="P62" s="107">
        <v>5637297</v>
      </c>
      <c r="Q62" s="107">
        <v>5637297</v>
      </c>
      <c r="R62" s="108">
        <f t="shared" si="13"/>
        <v>67647564</v>
      </c>
      <c r="S62" s="109">
        <v>0</v>
      </c>
      <c r="T62" s="109"/>
      <c r="U62" s="109"/>
      <c r="V62" s="109"/>
      <c r="W62" s="109"/>
      <c r="X62" s="109"/>
      <c r="Y62" s="109"/>
      <c r="Z62" s="109"/>
      <c r="AA62" s="65"/>
    </row>
    <row r="63" spans="1:27" x14ac:dyDescent="0.25">
      <c r="A63" s="42"/>
      <c r="B63" s="93"/>
      <c r="C63" s="101"/>
      <c r="D63" s="116" t="s">
        <v>136</v>
      </c>
      <c r="E63" s="113"/>
      <c r="F63" s="117">
        <f>+F20-(F22+F31)</f>
        <v>85476126.333333343</v>
      </c>
      <c r="G63" s="117">
        <f t="shared" ref="G63:Q63" si="16">+G20-(G22+G31)</f>
        <v>109090126.33333334</v>
      </c>
      <c r="H63" s="117">
        <f t="shared" si="16"/>
        <v>119046126.33333334</v>
      </c>
      <c r="I63" s="117">
        <f t="shared" si="16"/>
        <v>114068126.33333334</v>
      </c>
      <c r="J63" s="117">
        <f t="shared" si="16"/>
        <v>119046126.33333334</v>
      </c>
      <c r="K63" s="117">
        <f t="shared" si="16"/>
        <v>114068126.33333334</v>
      </c>
      <c r="L63" s="117">
        <f t="shared" si="16"/>
        <v>119046126.33333334</v>
      </c>
      <c r="M63" s="117">
        <f t="shared" si="16"/>
        <v>119046126.33333334</v>
      </c>
      <c r="N63" s="117">
        <f t="shared" si="16"/>
        <v>114068126.33333334</v>
      </c>
      <c r="O63" s="117">
        <f t="shared" si="16"/>
        <v>119046126.33333334</v>
      </c>
      <c r="P63" s="117">
        <f t="shared" si="16"/>
        <v>114068126.33333334</v>
      </c>
      <c r="Q63" s="117">
        <f t="shared" si="16"/>
        <v>119046126.33333334</v>
      </c>
      <c r="R63" s="111">
        <f>SUM(F63:Q63)</f>
        <v>1365115516</v>
      </c>
      <c r="S63" s="112">
        <v>0.25477791182276821</v>
      </c>
      <c r="T63" s="112">
        <v>0.25477791182276821</v>
      </c>
      <c r="U63" s="112">
        <v>0.25477791182276821</v>
      </c>
      <c r="V63" s="112">
        <v>0.25477791182276821</v>
      </c>
      <c r="W63" s="112">
        <v>0.25477791182276821</v>
      </c>
      <c r="X63" s="112">
        <v>0.25477791182276821</v>
      </c>
      <c r="Y63" s="112"/>
      <c r="Z63" s="112">
        <v>0.25477791182276821</v>
      </c>
      <c r="AA63" s="65"/>
    </row>
    <row r="64" spans="1:27" x14ac:dyDescent="0.25">
      <c r="A64" s="42"/>
      <c r="B64" s="93"/>
      <c r="C64" s="101"/>
      <c r="D64" s="105"/>
      <c r="E64" s="106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4"/>
      <c r="S64" s="109"/>
      <c r="T64" s="109"/>
      <c r="U64" s="109"/>
      <c r="V64" s="109"/>
      <c r="W64" s="109"/>
      <c r="X64" s="109"/>
      <c r="Y64" s="109"/>
      <c r="Z64" s="109"/>
      <c r="AA64" s="65"/>
    </row>
    <row r="65" spans="1:27" x14ac:dyDescent="0.25">
      <c r="A65" s="42"/>
      <c r="B65" s="93"/>
      <c r="C65" s="101"/>
      <c r="D65" s="102" t="s">
        <v>137</v>
      </c>
      <c r="E65" s="106"/>
      <c r="F65" s="103">
        <v>2083333</v>
      </c>
      <c r="G65" s="103">
        <v>2083333</v>
      </c>
      <c r="H65" s="103">
        <v>2083333</v>
      </c>
      <c r="I65" s="103">
        <v>2083333</v>
      </c>
      <c r="J65" s="103">
        <v>2083333</v>
      </c>
      <c r="K65" s="103">
        <v>2083333</v>
      </c>
      <c r="L65" s="103">
        <v>2083333</v>
      </c>
      <c r="M65" s="103">
        <v>2083333</v>
      </c>
      <c r="N65" s="103">
        <v>2083333</v>
      </c>
      <c r="O65" s="103">
        <v>2083333</v>
      </c>
      <c r="P65" s="103">
        <v>2083333</v>
      </c>
      <c r="Q65" s="103">
        <v>2083333</v>
      </c>
      <c r="R65" s="104">
        <f>SUM(F65:Q65)</f>
        <v>24999996</v>
      </c>
      <c r="S65" s="114">
        <v>6.0320245667909629E-4</v>
      </c>
      <c r="T65" s="114">
        <v>6.0320245667909629E-4</v>
      </c>
      <c r="U65" s="114">
        <v>6.0320245667909629E-4</v>
      </c>
      <c r="V65" s="114">
        <v>6.0320245667909629E-4</v>
      </c>
      <c r="W65" s="114">
        <v>6.0320245667909629E-4</v>
      </c>
      <c r="X65" s="114">
        <v>6.0320245667909629E-4</v>
      </c>
      <c r="Y65" s="114"/>
      <c r="Z65" s="114">
        <v>6.0320245667909629E-4</v>
      </c>
      <c r="AA65" s="65"/>
    </row>
    <row r="66" spans="1:27" x14ac:dyDescent="0.25">
      <c r="A66" s="42"/>
      <c r="B66" s="93"/>
      <c r="C66" s="101"/>
      <c r="D66" s="105"/>
      <c r="E66" s="106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4"/>
      <c r="S66" s="109"/>
      <c r="T66" s="109"/>
      <c r="U66" s="109"/>
      <c r="V66" s="109"/>
      <c r="W66" s="109"/>
      <c r="X66" s="109"/>
      <c r="Y66" s="109"/>
      <c r="Z66" s="109"/>
      <c r="AA66" s="65"/>
    </row>
    <row r="67" spans="1:27" x14ac:dyDescent="0.25">
      <c r="A67" s="42"/>
      <c r="B67" s="93"/>
      <c r="C67" s="101"/>
      <c r="D67" s="116" t="s">
        <v>138</v>
      </c>
      <c r="E67" s="113"/>
      <c r="F67" s="111">
        <f>+F63-F65</f>
        <v>83392793.333333343</v>
      </c>
      <c r="G67" s="111">
        <f t="shared" ref="G67:Q67" si="17">+G63-G65</f>
        <v>107006793.33333334</v>
      </c>
      <c r="H67" s="111">
        <f t="shared" si="17"/>
        <v>116962793.33333334</v>
      </c>
      <c r="I67" s="111">
        <f t="shared" si="17"/>
        <v>111984793.33333334</v>
      </c>
      <c r="J67" s="111">
        <f t="shared" si="17"/>
        <v>116962793.33333334</v>
      </c>
      <c r="K67" s="111">
        <f t="shared" si="17"/>
        <v>111984793.33333334</v>
      </c>
      <c r="L67" s="111">
        <f t="shared" si="17"/>
        <v>116962793.33333334</v>
      </c>
      <c r="M67" s="111">
        <f t="shared" si="17"/>
        <v>116962793.33333334</v>
      </c>
      <c r="N67" s="111">
        <f t="shared" si="17"/>
        <v>111984793.33333334</v>
      </c>
      <c r="O67" s="111">
        <f t="shared" si="17"/>
        <v>116962793.33333334</v>
      </c>
      <c r="P67" s="111">
        <f t="shared" si="17"/>
        <v>111984793.33333334</v>
      </c>
      <c r="Q67" s="111">
        <f t="shared" si="17"/>
        <v>116962793.33333334</v>
      </c>
      <c r="R67" s="111">
        <f>SUM(F67:Q67)</f>
        <v>1340115520</v>
      </c>
      <c r="S67" s="112">
        <v>0.2541747093660891</v>
      </c>
      <c r="T67" s="112">
        <v>0.2541747093660891</v>
      </c>
      <c r="U67" s="112">
        <v>0.2541747093660891</v>
      </c>
      <c r="V67" s="112">
        <v>0.2541747093660891</v>
      </c>
      <c r="W67" s="112">
        <v>0.2541747093660891</v>
      </c>
      <c r="X67" s="112">
        <v>0.2541747093660891</v>
      </c>
      <c r="Y67" s="112"/>
      <c r="Z67" s="112">
        <v>0.2541747093660891</v>
      </c>
      <c r="AA67" s="65"/>
    </row>
    <row r="68" spans="1:27" x14ac:dyDescent="0.25">
      <c r="A68" s="42"/>
      <c r="B68" s="93"/>
      <c r="C68" s="101"/>
      <c r="D68" s="105"/>
      <c r="E68" s="106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4"/>
      <c r="S68" s="109">
        <v>0</v>
      </c>
      <c r="T68" s="109"/>
      <c r="U68" s="109"/>
      <c r="V68" s="109"/>
      <c r="W68" s="109"/>
      <c r="X68" s="109"/>
      <c r="Y68" s="109"/>
      <c r="Z68" s="109"/>
      <c r="AA68" s="65"/>
    </row>
    <row r="69" spans="1:27" x14ac:dyDescent="0.25">
      <c r="A69" s="42"/>
      <c r="B69" s="93"/>
      <c r="C69" s="101"/>
      <c r="D69" s="105" t="s">
        <v>139</v>
      </c>
      <c r="E69" s="106"/>
      <c r="F69" s="107">
        <f>+'INGRESO FINANCIERO'!B4</f>
        <v>121614.49027777778</v>
      </c>
      <c r="G69" s="107">
        <f>+'INGRESO FINANCIERO'!C4</f>
        <v>347976.69926504628</v>
      </c>
      <c r="H69" s="107">
        <f>+'INGRESO FINANCIERO'!D4</f>
        <v>639236.6674564284</v>
      </c>
      <c r="I69" s="107">
        <f>+'INGRESO FINANCIERO'!E4</f>
        <v>958674.38551527471</v>
      </c>
      <c r="J69" s="107">
        <f>+'INGRESO FINANCIERO'!F4</f>
        <v>1265961.0107326994</v>
      </c>
      <c r="K69" s="107">
        <f>+'INGRESO FINANCIERO'!G4</f>
        <v>1588010.0802218635</v>
      </c>
      <c r="L69" s="107">
        <f>+'INGRESO FINANCIERO'!H4</f>
        <v>1897918.937500566</v>
      </c>
      <c r="M69" s="107">
        <f>+'INGRESO FINANCIERO'!I4</f>
        <v>2222601.1650179294</v>
      </c>
      <c r="N69" s="107">
        <f>+'INGRESO FINANCIERO'!J4</f>
        <v>2548636.2351499489</v>
      </c>
      <c r="O69" s="107">
        <f>+'INGRESO FINANCIERO'!K4</f>
        <v>2862547.7014075178</v>
      </c>
      <c r="P69" s="107">
        <f>+'INGRESO FINANCIERO'!L4</f>
        <v>3191249.2154411604</v>
      </c>
      <c r="Q69" s="107">
        <f>+'INGRESO FINANCIERO'!M4</f>
        <v>3507838.2357832757</v>
      </c>
      <c r="R69" s="108">
        <f>SUM(F69:Q69)</f>
        <v>21152264.823769487</v>
      </c>
      <c r="S69" s="109">
        <v>5.4836586970826939E-5</v>
      </c>
      <c r="T69" s="109"/>
      <c r="U69" s="109"/>
      <c r="V69" s="109"/>
      <c r="W69" s="109"/>
      <c r="X69" s="109"/>
      <c r="Y69" s="109"/>
      <c r="Z69" s="109"/>
      <c r="AA69" s="65"/>
    </row>
    <row r="70" spans="1:27" x14ac:dyDescent="0.25">
      <c r="A70" s="42"/>
      <c r="B70" s="93"/>
      <c r="C70" s="101"/>
      <c r="D70" s="105" t="s">
        <v>140</v>
      </c>
      <c r="E70" s="106"/>
      <c r="F70" s="107">
        <v>0</v>
      </c>
      <c r="G70" s="107">
        <v>0</v>
      </c>
      <c r="H70" s="107">
        <v>0</v>
      </c>
      <c r="I70" s="107">
        <v>0</v>
      </c>
      <c r="J70" s="107">
        <v>0</v>
      </c>
      <c r="K70" s="107">
        <v>0</v>
      </c>
      <c r="L70" s="107">
        <v>0</v>
      </c>
      <c r="M70" s="107">
        <v>0</v>
      </c>
      <c r="N70" s="107">
        <v>0</v>
      </c>
      <c r="O70" s="107">
        <v>0</v>
      </c>
      <c r="P70" s="107">
        <v>0</v>
      </c>
      <c r="Q70" s="107">
        <v>0</v>
      </c>
      <c r="R70" s="108">
        <f>SUM(F70:Q70)</f>
        <v>0</v>
      </c>
      <c r="S70" s="109">
        <v>-6.3062075016450978E-5</v>
      </c>
      <c r="T70" s="109"/>
      <c r="U70" s="109"/>
      <c r="V70" s="109"/>
      <c r="W70" s="109"/>
      <c r="X70" s="109"/>
      <c r="Y70" s="109"/>
      <c r="Z70" s="109"/>
      <c r="AA70" s="65"/>
    </row>
    <row r="71" spans="1:27" x14ac:dyDescent="0.25">
      <c r="A71" s="42"/>
      <c r="B71" s="93"/>
      <c r="C71" s="101"/>
      <c r="D71" s="105" t="s">
        <v>141</v>
      </c>
      <c r="E71" s="106"/>
      <c r="F71" s="107">
        <v>0</v>
      </c>
      <c r="G71" s="107">
        <v>0</v>
      </c>
      <c r="H71" s="107">
        <v>0</v>
      </c>
      <c r="I71" s="107">
        <v>0</v>
      </c>
      <c r="J71" s="107">
        <v>0</v>
      </c>
      <c r="K71" s="107">
        <v>0</v>
      </c>
      <c r="L71" s="107">
        <v>0</v>
      </c>
      <c r="M71" s="107">
        <v>0</v>
      </c>
      <c r="N71" s="107">
        <v>0</v>
      </c>
      <c r="O71" s="107">
        <v>0</v>
      </c>
      <c r="P71" s="107">
        <v>0</v>
      </c>
      <c r="Q71" s="107">
        <v>0</v>
      </c>
      <c r="R71" s="108"/>
      <c r="S71" s="109">
        <v>6.854573371353367E-5</v>
      </c>
      <c r="T71" s="109">
        <v>0</v>
      </c>
      <c r="U71" s="109"/>
      <c r="V71" s="109"/>
      <c r="W71" s="109"/>
      <c r="X71" s="109"/>
      <c r="Y71" s="109"/>
      <c r="Z71" s="109"/>
      <c r="AA71" s="65"/>
    </row>
    <row r="72" spans="1:27" x14ac:dyDescent="0.25">
      <c r="A72" s="42"/>
      <c r="B72" s="93"/>
      <c r="C72" s="101"/>
      <c r="D72" s="105" t="s">
        <v>142</v>
      </c>
      <c r="E72" s="106"/>
      <c r="F72" s="107">
        <v>0</v>
      </c>
      <c r="G72" s="107">
        <v>0</v>
      </c>
      <c r="H72" s="107">
        <v>0</v>
      </c>
      <c r="I72" s="107">
        <v>0</v>
      </c>
      <c r="J72" s="107">
        <v>0</v>
      </c>
      <c r="K72" s="107">
        <v>0</v>
      </c>
      <c r="L72" s="107">
        <v>0</v>
      </c>
      <c r="M72" s="107">
        <v>0</v>
      </c>
      <c r="N72" s="107">
        <v>0</v>
      </c>
      <c r="O72" s="107">
        <v>0</v>
      </c>
      <c r="P72" s="107">
        <v>0</v>
      </c>
      <c r="Q72" s="107">
        <v>0</v>
      </c>
      <c r="R72" s="108">
        <v>0</v>
      </c>
      <c r="S72" s="109">
        <v>0</v>
      </c>
      <c r="T72" s="109"/>
      <c r="U72" s="109"/>
      <c r="V72" s="109"/>
      <c r="W72" s="109"/>
      <c r="X72" s="109"/>
      <c r="Y72" s="109"/>
      <c r="Z72" s="109"/>
      <c r="AA72" s="65"/>
    </row>
    <row r="73" spans="1:27" x14ac:dyDescent="0.25">
      <c r="A73" s="42"/>
      <c r="B73" s="93"/>
      <c r="C73" s="101"/>
      <c r="D73" s="105"/>
      <c r="E73" s="106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4"/>
      <c r="S73" s="109">
        <v>0</v>
      </c>
      <c r="T73" s="109"/>
      <c r="U73" s="109"/>
      <c r="V73" s="109"/>
      <c r="W73" s="109"/>
      <c r="X73" s="109"/>
      <c r="Y73" s="109"/>
      <c r="Z73" s="109"/>
      <c r="AA73" s="65"/>
    </row>
    <row r="74" spans="1:27" x14ac:dyDescent="0.25">
      <c r="A74" s="42"/>
      <c r="B74" s="93"/>
      <c r="C74" s="101"/>
      <c r="D74" s="118" t="s">
        <v>143</v>
      </c>
      <c r="E74" s="119"/>
      <c r="F74" s="96" t="s">
        <v>89</v>
      </c>
      <c r="G74" s="96" t="s">
        <v>90</v>
      </c>
      <c r="H74" s="96" t="s">
        <v>91</v>
      </c>
      <c r="I74" s="96" t="s">
        <v>92</v>
      </c>
      <c r="J74" s="96" t="s">
        <v>93</v>
      </c>
      <c r="K74" s="96" t="s">
        <v>94</v>
      </c>
      <c r="L74" s="96" t="s">
        <v>95</v>
      </c>
      <c r="M74" s="96" t="s">
        <v>96</v>
      </c>
      <c r="N74" s="96" t="s">
        <v>97</v>
      </c>
      <c r="O74" s="96" t="s">
        <v>98</v>
      </c>
      <c r="P74" s="96" t="s">
        <v>99</v>
      </c>
      <c r="Q74" s="96" t="s">
        <v>100</v>
      </c>
      <c r="R74" s="120" t="s">
        <v>101</v>
      </c>
      <c r="S74" s="98" t="s">
        <v>102</v>
      </c>
      <c r="T74" s="98" t="s">
        <v>102</v>
      </c>
      <c r="U74" s="98" t="s">
        <v>102</v>
      </c>
      <c r="V74" s="98" t="s">
        <v>102</v>
      </c>
      <c r="W74" s="98" t="s">
        <v>102</v>
      </c>
      <c r="X74" s="98" t="s">
        <v>102</v>
      </c>
      <c r="Y74" s="98"/>
      <c r="Z74" s="98" t="s">
        <v>102</v>
      </c>
      <c r="AA74" s="65"/>
    </row>
    <row r="75" spans="1:27" x14ac:dyDescent="0.25">
      <c r="A75" s="42"/>
      <c r="B75" s="93"/>
      <c r="C75" s="101"/>
      <c r="D75" s="121"/>
      <c r="E75" s="100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  <c r="S75" s="109"/>
      <c r="T75" s="109"/>
      <c r="U75" s="109"/>
      <c r="V75" s="109"/>
      <c r="W75" s="109"/>
      <c r="X75" s="109"/>
      <c r="Y75" s="109"/>
      <c r="Z75" s="109"/>
      <c r="AA75" s="65"/>
    </row>
    <row r="76" spans="1:27" x14ac:dyDescent="0.25">
      <c r="A76" s="42"/>
      <c r="B76" s="93"/>
      <c r="C76" s="101"/>
      <c r="D76" s="121" t="s">
        <v>144</v>
      </c>
      <c r="E76" s="100"/>
      <c r="F76" s="124">
        <f>+F67</f>
        <v>83392793.333333343</v>
      </c>
      <c r="G76" s="124">
        <f t="shared" ref="G76:Q76" si="18">+G67</f>
        <v>107006793.33333334</v>
      </c>
      <c r="H76" s="124">
        <f t="shared" si="18"/>
        <v>116962793.33333334</v>
      </c>
      <c r="I76" s="124">
        <f t="shared" si="18"/>
        <v>111984793.33333334</v>
      </c>
      <c r="J76" s="124">
        <f t="shared" si="18"/>
        <v>116962793.33333334</v>
      </c>
      <c r="K76" s="124">
        <f t="shared" si="18"/>
        <v>111984793.33333334</v>
      </c>
      <c r="L76" s="124">
        <f t="shared" si="18"/>
        <v>116962793.33333334</v>
      </c>
      <c r="M76" s="124">
        <f t="shared" si="18"/>
        <v>116962793.33333334</v>
      </c>
      <c r="N76" s="124">
        <f t="shared" si="18"/>
        <v>111984793.33333334</v>
      </c>
      <c r="O76" s="124">
        <f t="shared" si="18"/>
        <v>116962793.33333334</v>
      </c>
      <c r="P76" s="124">
        <f t="shared" si="18"/>
        <v>111984793.33333334</v>
      </c>
      <c r="Q76" s="124">
        <f t="shared" si="18"/>
        <v>116962793.33333334</v>
      </c>
      <c r="R76" s="124">
        <f>SUM(F76:Q76)</f>
        <v>1340115520</v>
      </c>
      <c r="S76" s="114">
        <v>0.25423502961175698</v>
      </c>
      <c r="T76" s="114">
        <v>0.25423502961175698</v>
      </c>
      <c r="U76" s="114">
        <v>0.25423502961175698</v>
      </c>
      <c r="V76" s="114">
        <v>0.25423502961175698</v>
      </c>
      <c r="W76" s="114">
        <v>0.25423502961175698</v>
      </c>
      <c r="X76" s="114">
        <v>0.25423502961175698</v>
      </c>
      <c r="Y76" s="114"/>
      <c r="Z76" s="114">
        <v>0.25423502961175698</v>
      </c>
      <c r="AA76" s="65"/>
    </row>
    <row r="77" spans="1:27" x14ac:dyDescent="0.25">
      <c r="A77" s="42"/>
      <c r="B77" s="93"/>
      <c r="C77" s="101"/>
      <c r="D77" s="125" t="s">
        <v>145</v>
      </c>
      <c r="E77" s="100"/>
      <c r="F77" s="126">
        <f>+F76*35%</f>
        <v>29187477.666666668</v>
      </c>
      <c r="G77" s="126">
        <f t="shared" ref="G77:Q77" si="19">+G76*35%</f>
        <v>37452377.666666664</v>
      </c>
      <c r="H77" s="126">
        <f t="shared" si="19"/>
        <v>40936977.666666664</v>
      </c>
      <c r="I77" s="126">
        <f t="shared" si="19"/>
        <v>39194677.666666664</v>
      </c>
      <c r="J77" s="126">
        <f t="shared" si="19"/>
        <v>40936977.666666664</v>
      </c>
      <c r="K77" s="126">
        <f t="shared" si="19"/>
        <v>39194677.666666664</v>
      </c>
      <c r="L77" s="126">
        <f t="shared" si="19"/>
        <v>40936977.666666664</v>
      </c>
      <c r="M77" s="126">
        <f t="shared" si="19"/>
        <v>40936977.666666664</v>
      </c>
      <c r="N77" s="126">
        <f t="shared" si="19"/>
        <v>39194677.666666664</v>
      </c>
      <c r="O77" s="126">
        <f t="shared" si="19"/>
        <v>40936977.666666664</v>
      </c>
      <c r="P77" s="126">
        <f t="shared" si="19"/>
        <v>39194677.666666664</v>
      </c>
      <c r="Q77" s="126">
        <f t="shared" si="19"/>
        <v>40936977.666666664</v>
      </c>
      <c r="R77" s="127">
        <f>SUM(F77:Q77)</f>
        <v>469040432.00000006</v>
      </c>
      <c r="S77" s="109">
        <v>9.1794326241134747E-2</v>
      </c>
      <c r="T77" s="109"/>
      <c r="U77" s="109"/>
      <c r="V77" s="109"/>
      <c r="W77" s="109"/>
      <c r="X77" s="109"/>
      <c r="Y77" s="109"/>
      <c r="Z77" s="109"/>
      <c r="AA77" s="65"/>
    </row>
    <row r="78" spans="1:27" x14ac:dyDescent="0.25">
      <c r="A78" s="42"/>
      <c r="B78" s="93"/>
      <c r="C78" s="101"/>
      <c r="D78" s="121" t="s">
        <v>146</v>
      </c>
      <c r="E78" s="128"/>
      <c r="F78" s="104">
        <f>+F76-F77</f>
        <v>54205315.666666672</v>
      </c>
      <c r="G78" s="104">
        <f t="shared" ref="G78:Q78" si="20">+G76-G77</f>
        <v>69554415.666666687</v>
      </c>
      <c r="H78" s="104">
        <f t="shared" si="20"/>
        <v>76025815.666666687</v>
      </c>
      <c r="I78" s="104">
        <f t="shared" si="20"/>
        <v>72790115.666666687</v>
      </c>
      <c r="J78" s="104">
        <f t="shared" si="20"/>
        <v>76025815.666666687</v>
      </c>
      <c r="K78" s="104">
        <f t="shared" si="20"/>
        <v>72790115.666666687</v>
      </c>
      <c r="L78" s="104">
        <f t="shared" si="20"/>
        <v>76025815.666666687</v>
      </c>
      <c r="M78" s="104">
        <f t="shared" si="20"/>
        <v>76025815.666666687</v>
      </c>
      <c r="N78" s="104">
        <f t="shared" si="20"/>
        <v>72790115.666666687</v>
      </c>
      <c r="O78" s="104">
        <f t="shared" si="20"/>
        <v>76025815.666666687</v>
      </c>
      <c r="P78" s="104">
        <f t="shared" si="20"/>
        <v>72790115.666666687</v>
      </c>
      <c r="Q78" s="104">
        <f t="shared" si="20"/>
        <v>76025815.666666687</v>
      </c>
      <c r="R78" s="129">
        <f>SUM(F78:Q78)</f>
        <v>871075088.00000048</v>
      </c>
      <c r="S78" s="114">
        <v>0.16244070337062222</v>
      </c>
      <c r="T78" s="114">
        <v>0.16244070337062222</v>
      </c>
      <c r="U78" s="114">
        <v>0.16244070337062222</v>
      </c>
      <c r="V78" s="114">
        <v>0.16244070337062222</v>
      </c>
      <c r="W78" s="114">
        <v>0.16244070337062222</v>
      </c>
      <c r="X78" s="114">
        <v>0.16244070337062222</v>
      </c>
      <c r="Y78" s="114"/>
      <c r="Z78" s="114">
        <v>0.16244070337062222</v>
      </c>
      <c r="AA78" s="65"/>
    </row>
    <row r="79" spans="1:27" x14ac:dyDescent="0.25">
      <c r="A79" s="42"/>
      <c r="B79" s="93"/>
      <c r="C79" s="130"/>
      <c r="D79" s="119"/>
      <c r="E79" s="119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19"/>
      <c r="T79" s="119"/>
      <c r="U79" s="119"/>
      <c r="V79" s="119"/>
      <c r="W79" s="119"/>
      <c r="X79" s="119"/>
      <c r="Y79" s="119"/>
      <c r="Z79" s="132"/>
      <c r="AA79" s="65"/>
    </row>
    <row r="80" spans="1:27" x14ac:dyDescent="0.25">
      <c r="A80" s="42"/>
      <c r="B80" s="133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5"/>
    </row>
  </sheetData>
  <mergeCells count="10">
    <mergeCell ref="D8:M8"/>
    <mergeCell ref="D9:M9"/>
    <mergeCell ref="D14:F14"/>
    <mergeCell ref="G14:P14"/>
    <mergeCell ref="D2:E3"/>
    <mergeCell ref="F2:H3"/>
    <mergeCell ref="I2:I3"/>
    <mergeCell ref="J2:N3"/>
    <mergeCell ref="D6:M6"/>
    <mergeCell ref="D7:M7"/>
  </mergeCells>
  <pageMargins left="0.7" right="0.7" top="0.75" bottom="0.75" header="0.3" footer="0.3"/>
  <ignoredErrors>
    <ignoredError sqref="F49 F55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B6" sqref="B6"/>
    </sheetView>
  </sheetViews>
  <sheetFormatPr baseColWidth="10" defaultRowHeight="15" x14ac:dyDescent="0.25"/>
  <cols>
    <col min="1" max="1" width="31" customWidth="1"/>
    <col min="2" max="2" width="19.140625" customWidth="1"/>
    <col min="4" max="4" width="28" customWidth="1"/>
    <col min="6" max="6" width="23.140625" customWidth="1"/>
  </cols>
  <sheetData>
    <row r="2" spans="1:6" x14ac:dyDescent="0.25">
      <c r="A2" t="s">
        <v>50</v>
      </c>
      <c r="D2" t="s">
        <v>51</v>
      </c>
      <c r="F2" t="s">
        <v>31</v>
      </c>
    </row>
    <row r="4" spans="1:6" x14ac:dyDescent="0.25">
      <c r="A4" t="s">
        <v>11</v>
      </c>
      <c r="B4" s="3">
        <v>1500000</v>
      </c>
      <c r="D4" t="s">
        <v>19</v>
      </c>
    </row>
    <row r="5" spans="1:6" x14ac:dyDescent="0.25">
      <c r="A5" t="s">
        <v>32</v>
      </c>
      <c r="B5" s="3">
        <v>15000000</v>
      </c>
      <c r="D5" t="s">
        <v>20</v>
      </c>
    </row>
    <row r="6" spans="1:6" x14ac:dyDescent="0.25">
      <c r="A6" t="s">
        <v>47</v>
      </c>
      <c r="B6" s="3" t="e">
        <f>SUM(INVENTARIOS!D3+INVENTARIOS!D4+INVENTARIOS!D5+INVENTARIOS!D6+INVENTARIOS!D10+INVENTARIOS!D11+INVENTARIOS!D12+INVENTARIOS!D13+INVENTARIOS!D14+INVENTARIOS!D15+INVENTARIOS!#REF!)</f>
        <v>#VALUE!</v>
      </c>
      <c r="D6" t="s">
        <v>21</v>
      </c>
    </row>
    <row r="7" spans="1:6" x14ac:dyDescent="0.25">
      <c r="A7" t="s">
        <v>12</v>
      </c>
      <c r="B7" s="3">
        <f>SUM(INVENTARIOS!D7+INVENTARIOS!D8+INVENTARIOS!D9+INVENTARIOS!D16+INVENTARIOS!D17+INVENTARIOS!G11+INVENTARIOS!G12)</f>
        <v>2000001</v>
      </c>
      <c r="D7" t="s">
        <v>22</v>
      </c>
    </row>
    <row r="8" spans="1:6" x14ac:dyDescent="0.25">
      <c r="A8" t="s">
        <v>13</v>
      </c>
      <c r="B8" s="3">
        <f>SUM(75800000*2)</f>
        <v>151600000</v>
      </c>
    </row>
    <row r="9" spans="1:6" x14ac:dyDescent="0.25">
      <c r="B9" s="3"/>
      <c r="D9" t="s">
        <v>23</v>
      </c>
    </row>
    <row r="10" spans="1:6" x14ac:dyDescent="0.25">
      <c r="B10" s="3"/>
      <c r="D10" t="s">
        <v>26</v>
      </c>
    </row>
    <row r="11" spans="1:6" x14ac:dyDescent="0.25">
      <c r="B11" s="3"/>
      <c r="D11" t="s">
        <v>24</v>
      </c>
    </row>
    <row r="12" spans="1:6" x14ac:dyDescent="0.25">
      <c r="B12" s="3"/>
      <c r="D12" t="s">
        <v>25</v>
      </c>
    </row>
    <row r="13" spans="1:6" x14ac:dyDescent="0.25">
      <c r="B13" s="3"/>
    </row>
    <row r="14" spans="1:6" x14ac:dyDescent="0.25">
      <c r="B14" s="3"/>
      <c r="D14" t="s">
        <v>27</v>
      </c>
    </row>
    <row r="15" spans="1:6" x14ac:dyDescent="0.25">
      <c r="D15" t="s">
        <v>25</v>
      </c>
    </row>
    <row r="16" spans="1:6" x14ac:dyDescent="0.25">
      <c r="A16" t="s">
        <v>18</v>
      </c>
      <c r="D16" t="s">
        <v>28</v>
      </c>
    </row>
    <row r="17" spans="1:4" x14ac:dyDescent="0.25">
      <c r="A17" t="s">
        <v>14</v>
      </c>
      <c r="D17" t="s">
        <v>29</v>
      </c>
    </row>
    <row r="18" spans="1:4" x14ac:dyDescent="0.25">
      <c r="A18" t="s">
        <v>15</v>
      </c>
    </row>
    <row r="19" spans="1:4" x14ac:dyDescent="0.25">
      <c r="A19" t="s">
        <v>16</v>
      </c>
      <c r="D19" t="s">
        <v>30</v>
      </c>
    </row>
    <row r="21" spans="1:4" x14ac:dyDescent="0.25">
      <c r="A21" t="s">
        <v>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workbookViewId="0">
      <pane ySplit="1" topLeftCell="A2" activePane="bottomLeft" state="frozen"/>
      <selection pane="bottomLeft" activeCell="F29" sqref="F29"/>
    </sheetView>
  </sheetViews>
  <sheetFormatPr baseColWidth="10" defaultRowHeight="15.75" x14ac:dyDescent="0.25"/>
  <cols>
    <col min="1" max="1" width="20.7109375" customWidth="1"/>
    <col min="2" max="2" width="23.7109375" customWidth="1"/>
    <col min="3" max="3" width="17.42578125" customWidth="1"/>
    <col min="4" max="4" width="19.85546875" customWidth="1"/>
    <col min="6" max="6" width="15.7109375" style="240" customWidth="1"/>
    <col min="7" max="7" width="16.5703125" style="240" customWidth="1"/>
    <col min="8" max="10" width="17.7109375" style="240" bestFit="1" customWidth="1"/>
  </cols>
  <sheetData>
    <row r="1" spans="1:10" ht="39" customHeight="1" x14ac:dyDescent="0.25">
      <c r="A1" s="333" t="s">
        <v>189</v>
      </c>
      <c r="B1" s="334"/>
      <c r="C1" s="334"/>
      <c r="D1" s="334"/>
      <c r="E1" s="335"/>
      <c r="F1" s="339" t="s">
        <v>251</v>
      </c>
      <c r="G1" s="330" t="s">
        <v>252</v>
      </c>
      <c r="H1" s="330" t="s">
        <v>261</v>
      </c>
      <c r="I1" s="330" t="s">
        <v>262</v>
      </c>
      <c r="J1" s="330" t="s">
        <v>263</v>
      </c>
    </row>
    <row r="2" spans="1:10" ht="15.75" customHeight="1" thickBot="1" x14ac:dyDescent="0.3">
      <c r="A2" s="336"/>
      <c r="B2" s="337"/>
      <c r="C2" s="337"/>
      <c r="D2" s="337"/>
      <c r="E2" s="338"/>
      <c r="F2" s="340"/>
      <c r="G2" s="331"/>
      <c r="H2" s="331"/>
      <c r="I2" s="331"/>
      <c r="J2" s="331"/>
    </row>
    <row r="3" spans="1:10" ht="21.75" thickBot="1" x14ac:dyDescent="0.3">
      <c r="A3" s="184" t="s">
        <v>190</v>
      </c>
      <c r="B3" s="184" t="s">
        <v>191</v>
      </c>
      <c r="C3" s="184" t="s">
        <v>192</v>
      </c>
      <c r="D3" s="184" t="s">
        <v>193</v>
      </c>
      <c r="E3" s="185" t="s">
        <v>194</v>
      </c>
      <c r="F3" s="245"/>
      <c r="G3" s="246"/>
      <c r="H3" s="246"/>
      <c r="I3" s="246"/>
      <c r="J3" s="246"/>
    </row>
    <row r="4" spans="1:10" ht="22.5" x14ac:dyDescent="0.25">
      <c r="A4" s="186" t="s">
        <v>195</v>
      </c>
      <c r="B4" s="187" t="s">
        <v>196</v>
      </c>
      <c r="C4" s="188" t="s">
        <v>197</v>
      </c>
      <c r="D4" s="188" t="s">
        <v>198</v>
      </c>
      <c r="E4" s="189">
        <v>7500</v>
      </c>
      <c r="F4" s="239">
        <v>100000</v>
      </c>
      <c r="G4" s="242">
        <f>+F4*6</f>
        <v>600000</v>
      </c>
      <c r="H4" s="242">
        <f>+F4*12</f>
        <v>1200000</v>
      </c>
      <c r="I4" s="242">
        <f>(H4*4%)+H4</f>
        <v>1248000</v>
      </c>
      <c r="J4" s="242">
        <f>(I4*5%)+I4</f>
        <v>1310400</v>
      </c>
    </row>
    <row r="5" spans="1:10" ht="24" customHeight="1" x14ac:dyDescent="0.25">
      <c r="A5" s="190"/>
      <c r="B5" s="191" t="s">
        <v>199</v>
      </c>
      <c r="C5" s="192" t="s">
        <v>200</v>
      </c>
      <c r="D5" s="192" t="s">
        <v>201</v>
      </c>
      <c r="E5" s="193">
        <v>7500</v>
      </c>
      <c r="F5" s="239">
        <v>10000</v>
      </c>
      <c r="G5" s="242">
        <f t="shared" ref="G5:G27" si="0">+F5*6</f>
        <v>60000</v>
      </c>
      <c r="H5" s="242">
        <f t="shared" ref="H5:H27" si="1">+F5*12</f>
        <v>120000</v>
      </c>
      <c r="I5" s="242">
        <f t="shared" ref="I5:I28" si="2">(H5*4%)+H5</f>
        <v>124800</v>
      </c>
      <c r="J5" s="242">
        <f t="shared" ref="J5:J28" si="3">(I5*5%)+I5</f>
        <v>131040</v>
      </c>
    </row>
    <row r="6" spans="1:10" ht="22.5" customHeight="1" x14ac:dyDescent="0.25">
      <c r="A6" s="190"/>
      <c r="B6" s="191" t="s">
        <v>202</v>
      </c>
      <c r="C6" s="192" t="s">
        <v>200</v>
      </c>
      <c r="D6" s="192" t="s">
        <v>203</v>
      </c>
      <c r="E6" s="193">
        <v>7500</v>
      </c>
      <c r="F6" s="239">
        <v>10000</v>
      </c>
      <c r="G6" s="242">
        <f t="shared" si="0"/>
        <v>60000</v>
      </c>
      <c r="H6" s="242">
        <f t="shared" si="1"/>
        <v>120000</v>
      </c>
      <c r="I6" s="242">
        <f t="shared" si="2"/>
        <v>124800</v>
      </c>
      <c r="J6" s="242">
        <f t="shared" si="3"/>
        <v>131040</v>
      </c>
    </row>
    <row r="7" spans="1:10" ht="22.5" customHeight="1" x14ac:dyDescent="0.25">
      <c r="A7" s="190"/>
      <c r="B7" s="191" t="s">
        <v>204</v>
      </c>
      <c r="C7" s="192" t="s">
        <v>197</v>
      </c>
      <c r="D7" s="192" t="s">
        <v>205</v>
      </c>
      <c r="E7" s="193">
        <v>40000</v>
      </c>
      <c r="F7" s="239">
        <v>7000</v>
      </c>
      <c r="G7" s="242">
        <f t="shared" si="0"/>
        <v>42000</v>
      </c>
      <c r="H7" s="242">
        <f t="shared" si="1"/>
        <v>84000</v>
      </c>
      <c r="I7" s="242">
        <f t="shared" si="2"/>
        <v>87360</v>
      </c>
      <c r="J7" s="242">
        <f t="shared" si="3"/>
        <v>91728</v>
      </c>
    </row>
    <row r="8" spans="1:10" ht="24.75" customHeight="1" x14ac:dyDescent="0.25">
      <c r="A8" s="190"/>
      <c r="B8" s="191" t="s">
        <v>206</v>
      </c>
      <c r="C8" s="194" t="s">
        <v>207</v>
      </c>
      <c r="D8" s="192" t="s">
        <v>208</v>
      </c>
      <c r="E8" s="193">
        <v>15000</v>
      </c>
      <c r="F8" s="239">
        <v>5000</v>
      </c>
      <c r="G8" s="242">
        <f t="shared" si="0"/>
        <v>30000</v>
      </c>
      <c r="H8" s="242">
        <f t="shared" si="1"/>
        <v>60000</v>
      </c>
      <c r="I8" s="242">
        <f t="shared" si="2"/>
        <v>62400</v>
      </c>
      <c r="J8" s="242">
        <f t="shared" si="3"/>
        <v>65520</v>
      </c>
    </row>
    <row r="9" spans="1:10" ht="38.25" customHeight="1" thickBot="1" x14ac:dyDescent="0.3">
      <c r="A9" s="195"/>
      <c r="B9" s="191" t="s">
        <v>256</v>
      </c>
      <c r="C9" s="192" t="s">
        <v>209</v>
      </c>
      <c r="D9" s="192" t="s">
        <v>257</v>
      </c>
      <c r="E9" s="193">
        <v>30000</v>
      </c>
      <c r="F9" s="239">
        <v>15000</v>
      </c>
      <c r="G9" s="242">
        <f t="shared" si="0"/>
        <v>90000</v>
      </c>
      <c r="H9" s="242">
        <f t="shared" si="1"/>
        <v>180000</v>
      </c>
      <c r="I9" s="242">
        <f t="shared" si="2"/>
        <v>187200</v>
      </c>
      <c r="J9" s="242">
        <f t="shared" si="3"/>
        <v>196560</v>
      </c>
    </row>
    <row r="10" spans="1:10" ht="48.75" customHeight="1" thickBot="1" x14ac:dyDescent="0.3">
      <c r="A10" s="196" t="s">
        <v>210</v>
      </c>
      <c r="B10" s="197" t="s">
        <v>211</v>
      </c>
      <c r="C10" s="188" t="s">
        <v>212</v>
      </c>
      <c r="D10" s="188" t="s">
        <v>253</v>
      </c>
      <c r="E10" s="198">
        <v>50000</v>
      </c>
      <c r="F10" s="239">
        <v>8000</v>
      </c>
      <c r="G10" s="242">
        <f t="shared" si="0"/>
        <v>48000</v>
      </c>
      <c r="H10" s="242">
        <f t="shared" si="1"/>
        <v>96000</v>
      </c>
      <c r="I10" s="242">
        <f t="shared" si="2"/>
        <v>99840</v>
      </c>
      <c r="J10" s="242">
        <f t="shared" si="3"/>
        <v>104832</v>
      </c>
    </row>
    <row r="11" spans="1:10" ht="16.5" thickBot="1" x14ac:dyDescent="0.3">
      <c r="A11" s="199"/>
      <c r="B11" s="197" t="s">
        <v>214</v>
      </c>
      <c r="C11" s="188" t="s">
        <v>197</v>
      </c>
      <c r="D11" s="188" t="s">
        <v>215</v>
      </c>
      <c r="E11" s="198">
        <v>100000</v>
      </c>
      <c r="F11" s="239">
        <v>30000</v>
      </c>
      <c r="G11" s="242">
        <f t="shared" si="0"/>
        <v>180000</v>
      </c>
      <c r="H11" s="242">
        <f t="shared" si="1"/>
        <v>360000</v>
      </c>
      <c r="I11" s="242">
        <f t="shared" si="2"/>
        <v>374400</v>
      </c>
      <c r="J11" s="242">
        <f t="shared" si="3"/>
        <v>393120</v>
      </c>
    </row>
    <row r="12" spans="1:10" ht="16.5" thickBot="1" x14ac:dyDescent="0.3">
      <c r="A12" s="186" t="s">
        <v>216</v>
      </c>
      <c r="B12" s="206" t="s">
        <v>217</v>
      </c>
      <c r="C12" s="207" t="s">
        <v>197</v>
      </c>
      <c r="D12" s="208" t="s">
        <v>218</v>
      </c>
      <c r="E12" s="209">
        <v>100000</v>
      </c>
      <c r="F12" s="239">
        <v>120000</v>
      </c>
      <c r="G12" s="242">
        <f t="shared" si="0"/>
        <v>720000</v>
      </c>
      <c r="H12" s="242">
        <f t="shared" si="1"/>
        <v>1440000</v>
      </c>
      <c r="I12" s="242">
        <f t="shared" si="2"/>
        <v>1497600</v>
      </c>
      <c r="J12" s="242">
        <f t="shared" si="3"/>
        <v>1572480</v>
      </c>
    </row>
    <row r="13" spans="1:10" ht="16.5" thickBot="1" x14ac:dyDescent="0.3">
      <c r="A13" s="186" t="s">
        <v>219</v>
      </c>
      <c r="B13" s="200" t="s">
        <v>220</v>
      </c>
      <c r="C13" s="192" t="s">
        <v>213</v>
      </c>
      <c r="D13" s="210" t="s">
        <v>254</v>
      </c>
      <c r="E13" s="201">
        <v>50000</v>
      </c>
      <c r="F13" s="239">
        <f>150000/6</f>
        <v>25000</v>
      </c>
      <c r="G13" s="242">
        <f t="shared" si="0"/>
        <v>150000</v>
      </c>
      <c r="H13" s="242">
        <f t="shared" si="1"/>
        <v>300000</v>
      </c>
      <c r="I13" s="242">
        <f t="shared" si="2"/>
        <v>312000</v>
      </c>
      <c r="J13" s="242">
        <f t="shared" si="3"/>
        <v>327600</v>
      </c>
    </row>
    <row r="14" spans="1:10" ht="22.5" x14ac:dyDescent="0.25">
      <c r="A14" s="203" t="s">
        <v>221</v>
      </c>
      <c r="B14" s="200" t="s">
        <v>222</v>
      </c>
      <c r="C14" s="194" t="s">
        <v>212</v>
      </c>
      <c r="D14" s="192" t="s">
        <v>223</v>
      </c>
      <c r="E14" s="193">
        <v>50000</v>
      </c>
      <c r="F14" s="239">
        <v>15000</v>
      </c>
      <c r="G14" s="242">
        <f t="shared" si="0"/>
        <v>90000</v>
      </c>
      <c r="H14" s="242">
        <f t="shared" si="1"/>
        <v>180000</v>
      </c>
      <c r="I14" s="242">
        <f t="shared" si="2"/>
        <v>187200</v>
      </c>
      <c r="J14" s="242">
        <f t="shared" si="3"/>
        <v>196560</v>
      </c>
    </row>
    <row r="15" spans="1:10" ht="16.5" thickBot="1" x14ac:dyDescent="0.3">
      <c r="A15" s="199"/>
      <c r="B15" s="204" t="s">
        <v>224</v>
      </c>
      <c r="C15" s="211" t="s">
        <v>212</v>
      </c>
      <c r="D15" s="205" t="s">
        <v>225</v>
      </c>
      <c r="E15" s="212">
        <v>8000</v>
      </c>
      <c r="F15" s="239">
        <v>5000</v>
      </c>
      <c r="G15" s="242">
        <f t="shared" si="0"/>
        <v>30000</v>
      </c>
      <c r="H15" s="242">
        <f t="shared" si="1"/>
        <v>60000</v>
      </c>
      <c r="I15" s="242">
        <f t="shared" si="2"/>
        <v>62400</v>
      </c>
      <c r="J15" s="242">
        <f t="shared" si="3"/>
        <v>65520</v>
      </c>
    </row>
    <row r="16" spans="1:10" x14ac:dyDescent="0.25">
      <c r="A16" s="199"/>
      <c r="B16" s="197" t="s">
        <v>226</v>
      </c>
      <c r="C16" s="202" t="s">
        <v>212</v>
      </c>
      <c r="D16" s="188" t="s">
        <v>227</v>
      </c>
      <c r="E16" s="189">
        <v>8000</v>
      </c>
      <c r="F16" s="239">
        <v>5000</v>
      </c>
      <c r="G16" s="242">
        <f t="shared" si="0"/>
        <v>30000</v>
      </c>
      <c r="H16" s="242">
        <f t="shared" si="1"/>
        <v>60000</v>
      </c>
      <c r="I16" s="242">
        <f t="shared" si="2"/>
        <v>62400</v>
      </c>
      <c r="J16" s="242">
        <f t="shared" si="3"/>
        <v>65520</v>
      </c>
    </row>
    <row r="17" spans="1:10" ht="23.25" thickBot="1" x14ac:dyDescent="0.3">
      <c r="A17" s="199"/>
      <c r="B17" s="200" t="s">
        <v>228</v>
      </c>
      <c r="C17" s="194" t="s">
        <v>229</v>
      </c>
      <c r="D17" s="192" t="s">
        <v>230</v>
      </c>
      <c r="E17" s="193">
        <v>8000</v>
      </c>
      <c r="F17" s="239">
        <v>5000</v>
      </c>
      <c r="G17" s="242">
        <f t="shared" si="0"/>
        <v>30000</v>
      </c>
      <c r="H17" s="242">
        <f t="shared" si="1"/>
        <v>60000</v>
      </c>
      <c r="I17" s="242">
        <f t="shared" si="2"/>
        <v>62400</v>
      </c>
      <c r="J17" s="242">
        <f t="shared" si="3"/>
        <v>65520</v>
      </c>
    </row>
    <row r="18" spans="1:10" ht="16.5" thickBot="1" x14ac:dyDescent="0.3">
      <c r="A18" s="190"/>
      <c r="B18" s="197" t="s">
        <v>231</v>
      </c>
      <c r="C18" s="202" t="s">
        <v>197</v>
      </c>
      <c r="D18" s="188" t="s">
        <v>232</v>
      </c>
      <c r="E18" s="189">
        <v>200000</v>
      </c>
      <c r="F18" s="239">
        <v>20000</v>
      </c>
      <c r="G18" s="242">
        <f t="shared" si="0"/>
        <v>120000</v>
      </c>
      <c r="H18" s="242">
        <f t="shared" si="1"/>
        <v>240000</v>
      </c>
      <c r="I18" s="242">
        <f t="shared" si="2"/>
        <v>249600</v>
      </c>
      <c r="J18" s="242">
        <f t="shared" si="3"/>
        <v>262080</v>
      </c>
    </row>
    <row r="19" spans="1:10" ht="16.5" thickBot="1" x14ac:dyDescent="0.3">
      <c r="B19" s="213" t="s">
        <v>255</v>
      </c>
      <c r="C19" s="214" t="s">
        <v>234</v>
      </c>
      <c r="D19" s="215" t="s">
        <v>258</v>
      </c>
      <c r="E19" s="216" t="s">
        <v>235</v>
      </c>
      <c r="F19" s="239">
        <v>150000</v>
      </c>
      <c r="G19" s="242">
        <f t="shared" si="0"/>
        <v>900000</v>
      </c>
      <c r="H19" s="242">
        <f t="shared" si="1"/>
        <v>1800000</v>
      </c>
      <c r="I19" s="242">
        <f t="shared" si="2"/>
        <v>1872000</v>
      </c>
      <c r="J19" s="242">
        <f t="shared" si="3"/>
        <v>1965600</v>
      </c>
    </row>
    <row r="20" spans="1:10" ht="22.5" x14ac:dyDescent="0.25">
      <c r="A20" s="203" t="s">
        <v>233</v>
      </c>
      <c r="B20" s="217" t="s">
        <v>259</v>
      </c>
      <c r="C20" s="218" t="s">
        <v>234</v>
      </c>
      <c r="D20" s="219" t="s">
        <v>260</v>
      </c>
      <c r="E20" s="220" t="s">
        <v>236</v>
      </c>
      <c r="F20" s="239">
        <v>35000</v>
      </c>
      <c r="G20" s="242">
        <f t="shared" si="0"/>
        <v>210000</v>
      </c>
      <c r="H20" s="242">
        <f t="shared" si="1"/>
        <v>420000</v>
      </c>
      <c r="I20" s="242">
        <f t="shared" si="2"/>
        <v>436800</v>
      </c>
      <c r="J20" s="242">
        <f t="shared" si="3"/>
        <v>458640</v>
      </c>
    </row>
    <row r="21" spans="1:10" ht="16.5" thickBot="1" x14ac:dyDescent="0.3">
      <c r="A21" s="182"/>
      <c r="B21" s="341"/>
      <c r="C21" s="341"/>
      <c r="D21" s="341"/>
      <c r="E21" s="183"/>
      <c r="F21" s="239"/>
      <c r="G21" s="242"/>
      <c r="H21" s="242"/>
      <c r="I21" s="242"/>
      <c r="J21" s="242">
        <f t="shared" si="3"/>
        <v>0</v>
      </c>
    </row>
    <row r="22" spans="1:10" ht="34.5" x14ac:dyDescent="0.25">
      <c r="A22" s="221" t="s">
        <v>240</v>
      </c>
      <c r="B22" s="222" t="s">
        <v>239</v>
      </c>
      <c r="C22" s="222" t="s">
        <v>237</v>
      </c>
      <c r="D22" s="223" t="s">
        <v>238</v>
      </c>
      <c r="E22" s="224" t="s">
        <v>235</v>
      </c>
      <c r="F22" s="239">
        <f>42500*30</f>
        <v>1275000</v>
      </c>
      <c r="G22" s="242">
        <f t="shared" si="0"/>
        <v>7650000</v>
      </c>
      <c r="H22" s="242">
        <f>+F22*12</f>
        <v>15300000</v>
      </c>
      <c r="I22" s="242">
        <f>(H22*4%)+H22</f>
        <v>15912000</v>
      </c>
      <c r="J22" s="242">
        <f t="shared" si="3"/>
        <v>16707600</v>
      </c>
    </row>
    <row r="23" spans="1:10" ht="23.25" x14ac:dyDescent="0.25">
      <c r="A23" s="225" t="s">
        <v>241</v>
      </c>
      <c r="B23" s="226" t="s">
        <v>242</v>
      </c>
      <c r="C23" s="227" t="s">
        <v>243</v>
      </c>
      <c r="D23" s="228" t="s">
        <v>244</v>
      </c>
      <c r="E23" s="229" t="s">
        <v>245</v>
      </c>
      <c r="F23" s="241"/>
      <c r="G23" s="242">
        <f t="shared" si="0"/>
        <v>0</v>
      </c>
      <c r="H23" s="242">
        <v>387000</v>
      </c>
      <c r="I23" s="242">
        <f t="shared" si="2"/>
        <v>402480</v>
      </c>
      <c r="J23" s="242">
        <f t="shared" si="3"/>
        <v>422604</v>
      </c>
    </row>
    <row r="24" spans="1:10" ht="23.25" x14ac:dyDescent="0.25">
      <c r="A24" s="230" t="s">
        <v>246</v>
      </c>
      <c r="B24" s="226" t="s">
        <v>242</v>
      </c>
      <c r="C24" s="227" t="s">
        <v>243</v>
      </c>
      <c r="D24" s="228" t="s">
        <v>244</v>
      </c>
      <c r="E24" s="229" t="s">
        <v>245</v>
      </c>
      <c r="F24" s="241"/>
      <c r="G24" s="242">
        <f t="shared" si="0"/>
        <v>0</v>
      </c>
      <c r="H24" s="242">
        <f t="shared" si="1"/>
        <v>0</v>
      </c>
      <c r="I24" s="242">
        <f t="shared" si="2"/>
        <v>0</v>
      </c>
      <c r="J24" s="242">
        <f t="shared" si="3"/>
        <v>0</v>
      </c>
    </row>
    <row r="25" spans="1:10" ht="23.25" x14ac:dyDescent="0.25">
      <c r="A25" s="225" t="s">
        <v>247</v>
      </c>
      <c r="B25" s="226" t="s">
        <v>242</v>
      </c>
      <c r="C25" s="227" t="s">
        <v>243</v>
      </c>
      <c r="D25" s="228" t="s">
        <v>244</v>
      </c>
      <c r="E25" s="229" t="s">
        <v>245</v>
      </c>
      <c r="F25" s="241">
        <f>423000/12</f>
        <v>35250</v>
      </c>
      <c r="G25" s="242">
        <f t="shared" si="0"/>
        <v>211500</v>
      </c>
      <c r="H25" s="242">
        <f t="shared" si="1"/>
        <v>423000</v>
      </c>
      <c r="I25" s="242">
        <f t="shared" si="2"/>
        <v>439920</v>
      </c>
      <c r="J25" s="242">
        <f t="shared" si="3"/>
        <v>461916</v>
      </c>
    </row>
    <row r="26" spans="1:10" ht="23.25" x14ac:dyDescent="0.25">
      <c r="A26" s="230" t="s">
        <v>248</v>
      </c>
      <c r="B26" s="226" t="s">
        <v>242</v>
      </c>
      <c r="C26" s="227" t="s">
        <v>243</v>
      </c>
      <c r="D26" s="228" t="s">
        <v>244</v>
      </c>
      <c r="E26" s="229" t="s">
        <v>245</v>
      </c>
      <c r="F26" s="241">
        <f>280000/12</f>
        <v>23333.333333333332</v>
      </c>
      <c r="G26" s="242">
        <f t="shared" si="0"/>
        <v>140000</v>
      </c>
      <c r="H26" s="242">
        <f t="shared" si="1"/>
        <v>280000</v>
      </c>
      <c r="I26" s="242">
        <f t="shared" si="2"/>
        <v>291200</v>
      </c>
      <c r="J26" s="242">
        <f t="shared" si="3"/>
        <v>305760</v>
      </c>
    </row>
    <row r="27" spans="1:10" ht="33" x14ac:dyDescent="0.25">
      <c r="A27" s="230" t="s">
        <v>249</v>
      </c>
      <c r="B27" s="226" t="s">
        <v>242</v>
      </c>
      <c r="C27" s="227" t="s">
        <v>243</v>
      </c>
      <c r="D27" s="228" t="s">
        <v>244</v>
      </c>
      <c r="E27" s="229" t="s">
        <v>245</v>
      </c>
      <c r="F27" s="241">
        <f>280000/12</f>
        <v>23333.333333333332</v>
      </c>
      <c r="G27" s="242">
        <f t="shared" si="0"/>
        <v>140000</v>
      </c>
      <c r="H27" s="242">
        <f t="shared" si="1"/>
        <v>280000</v>
      </c>
      <c r="I27" s="242">
        <f t="shared" si="2"/>
        <v>291200</v>
      </c>
      <c r="J27" s="242">
        <f t="shared" si="3"/>
        <v>305760</v>
      </c>
    </row>
    <row r="28" spans="1:10" ht="24" thickBot="1" x14ac:dyDescent="0.3">
      <c r="A28" s="231" t="s">
        <v>250</v>
      </c>
      <c r="B28" s="232" t="s">
        <v>242</v>
      </c>
      <c r="C28" s="233" t="s">
        <v>243</v>
      </c>
      <c r="D28" s="234" t="s">
        <v>244</v>
      </c>
      <c r="E28" s="229" t="s">
        <v>245</v>
      </c>
      <c r="F28" s="241">
        <v>1100000</v>
      </c>
      <c r="G28" s="242">
        <v>0</v>
      </c>
      <c r="H28" s="242">
        <v>55000</v>
      </c>
      <c r="I28" s="242">
        <f t="shared" si="2"/>
        <v>57200</v>
      </c>
      <c r="J28" s="242">
        <f t="shared" si="3"/>
        <v>60060</v>
      </c>
    </row>
    <row r="29" spans="1:10" s="244" customFormat="1" ht="18.75" x14ac:dyDescent="0.3">
      <c r="A29" s="332" t="s">
        <v>2</v>
      </c>
      <c r="B29" s="332"/>
      <c r="C29" s="332"/>
      <c r="D29" s="332"/>
      <c r="E29" s="332"/>
      <c r="F29" s="243">
        <f>SUM(F4:F28)</f>
        <v>3021916.6666666665</v>
      </c>
      <c r="G29" s="243">
        <f t="shared" ref="G29:J29" si="4">SUM(G4:G28)</f>
        <v>11531500</v>
      </c>
      <c r="H29" s="243">
        <f t="shared" si="4"/>
        <v>23505000</v>
      </c>
      <c r="I29" s="243">
        <f t="shared" si="4"/>
        <v>24445200</v>
      </c>
      <c r="J29" s="243">
        <f t="shared" si="4"/>
        <v>25667460</v>
      </c>
    </row>
    <row r="30" spans="1:10" x14ac:dyDescent="0.25">
      <c r="A30" s="235"/>
      <c r="B30" s="236"/>
      <c r="C30" s="237"/>
      <c r="D30" s="237"/>
      <c r="E30" s="238"/>
    </row>
    <row r="31" spans="1:10" x14ac:dyDescent="0.25">
      <c r="A31" s="235"/>
      <c r="B31" s="236"/>
      <c r="C31" s="237"/>
      <c r="D31" s="237"/>
      <c r="E31" s="238"/>
    </row>
    <row r="32" spans="1:10" x14ac:dyDescent="0.25">
      <c r="A32" s="235"/>
      <c r="B32" s="236"/>
      <c r="C32" s="237"/>
      <c r="D32" s="237"/>
      <c r="E32" s="238"/>
    </row>
    <row r="33" spans="1:5" x14ac:dyDescent="0.25">
      <c r="A33" s="235"/>
      <c r="B33" s="236"/>
      <c r="C33" s="237"/>
      <c r="D33" s="237"/>
      <c r="E33" s="238"/>
    </row>
    <row r="34" spans="1:5" x14ac:dyDescent="0.25">
      <c r="A34" s="235"/>
      <c r="B34" s="236"/>
      <c r="C34" s="237"/>
      <c r="D34" s="237"/>
      <c r="E34" s="238"/>
    </row>
    <row r="35" spans="1:5" x14ac:dyDescent="0.25">
      <c r="A35" s="235"/>
      <c r="B35" s="236"/>
      <c r="C35" s="237"/>
      <c r="D35" s="237"/>
      <c r="E35" s="238"/>
    </row>
    <row r="36" spans="1:5" x14ac:dyDescent="0.25">
      <c r="A36" s="235"/>
      <c r="B36" s="236"/>
      <c r="C36" s="237"/>
      <c r="D36" s="237"/>
      <c r="E36" s="238"/>
    </row>
    <row r="37" spans="1:5" x14ac:dyDescent="0.25">
      <c r="A37" s="235"/>
      <c r="B37" s="236"/>
      <c r="C37" s="237"/>
      <c r="D37" s="237"/>
      <c r="E37" s="238"/>
    </row>
    <row r="38" spans="1:5" x14ac:dyDescent="0.25">
      <c r="A38" s="235"/>
      <c r="B38" s="236"/>
      <c r="C38" s="237"/>
      <c r="D38" s="237"/>
      <c r="E38" s="238"/>
    </row>
    <row r="39" spans="1:5" x14ac:dyDescent="0.25">
      <c r="A39" s="235"/>
      <c r="B39" s="236"/>
      <c r="C39" s="237"/>
      <c r="D39" s="237"/>
      <c r="E39" s="238"/>
    </row>
    <row r="40" spans="1:5" x14ac:dyDescent="0.25">
      <c r="A40" s="235"/>
      <c r="B40" s="236"/>
      <c r="C40" s="237"/>
      <c r="D40" s="237"/>
      <c r="E40" s="238"/>
    </row>
    <row r="41" spans="1:5" x14ac:dyDescent="0.25">
      <c r="A41" s="235"/>
      <c r="B41" s="236"/>
      <c r="C41" s="237"/>
      <c r="D41" s="237"/>
      <c r="E41" s="238"/>
    </row>
    <row r="42" spans="1:5" x14ac:dyDescent="0.25">
      <c r="A42" s="235"/>
      <c r="B42" s="236"/>
      <c r="C42" s="237"/>
      <c r="D42" s="237"/>
      <c r="E42" s="238"/>
    </row>
    <row r="43" spans="1:5" x14ac:dyDescent="0.25">
      <c r="A43" s="235"/>
      <c r="B43" s="236"/>
      <c r="C43" s="237"/>
      <c r="D43" s="237"/>
      <c r="E43" s="238"/>
    </row>
    <row r="44" spans="1:5" x14ac:dyDescent="0.25">
      <c r="A44" s="235"/>
      <c r="B44" s="236"/>
      <c r="C44" s="237"/>
      <c r="D44" s="237"/>
      <c r="E44" s="238"/>
    </row>
    <row r="45" spans="1:5" x14ac:dyDescent="0.25">
      <c r="A45" s="235"/>
      <c r="B45" s="236"/>
      <c r="C45" s="237"/>
      <c r="D45" s="237"/>
      <c r="E45" s="238"/>
    </row>
    <row r="46" spans="1:5" x14ac:dyDescent="0.25">
      <c r="A46" s="235"/>
      <c r="B46" s="236"/>
      <c r="C46" s="237"/>
      <c r="D46" s="237"/>
      <c r="E46" s="238"/>
    </row>
    <row r="47" spans="1:5" x14ac:dyDescent="0.25">
      <c r="A47" s="235"/>
      <c r="B47" s="236"/>
      <c r="C47" s="237"/>
      <c r="D47" s="237"/>
      <c r="E47" s="238"/>
    </row>
    <row r="48" spans="1:5" x14ac:dyDescent="0.25">
      <c r="A48" s="235"/>
      <c r="B48" s="236"/>
      <c r="C48" s="237"/>
      <c r="D48" s="237"/>
      <c r="E48" s="238"/>
    </row>
    <row r="49" spans="1:5" x14ac:dyDescent="0.25">
      <c r="A49" s="235"/>
      <c r="B49" s="236"/>
      <c r="C49" s="237"/>
      <c r="D49" s="237"/>
      <c r="E49" s="238"/>
    </row>
    <row r="50" spans="1:5" x14ac:dyDescent="0.25">
      <c r="A50" s="235"/>
      <c r="B50" s="236"/>
      <c r="C50" s="237"/>
      <c r="D50" s="237"/>
      <c r="E50" s="238"/>
    </row>
    <row r="51" spans="1:5" x14ac:dyDescent="0.25">
      <c r="A51" s="235"/>
      <c r="B51" s="236"/>
      <c r="C51" s="237"/>
      <c r="D51" s="237"/>
      <c r="E51" s="238"/>
    </row>
    <row r="52" spans="1:5" x14ac:dyDescent="0.25">
      <c r="A52" s="235"/>
      <c r="B52" s="236"/>
      <c r="C52" s="237"/>
      <c r="D52" s="237"/>
      <c r="E52" s="238"/>
    </row>
    <row r="53" spans="1:5" x14ac:dyDescent="0.25">
      <c r="A53" s="235"/>
      <c r="B53" s="236"/>
      <c r="C53" s="237"/>
      <c r="D53" s="237"/>
      <c r="E53" s="238"/>
    </row>
    <row r="54" spans="1:5" x14ac:dyDescent="0.25">
      <c r="A54" s="235"/>
      <c r="B54" s="236"/>
      <c r="C54" s="237"/>
      <c r="D54" s="237"/>
      <c r="E54" s="238"/>
    </row>
    <row r="55" spans="1:5" x14ac:dyDescent="0.25">
      <c r="A55" s="235"/>
      <c r="B55" s="236"/>
      <c r="C55" s="237"/>
      <c r="D55" s="237"/>
      <c r="E55" s="238"/>
    </row>
    <row r="56" spans="1:5" x14ac:dyDescent="0.25">
      <c r="A56" s="235"/>
      <c r="B56" s="236"/>
      <c r="C56" s="237"/>
      <c r="D56" s="237"/>
      <c r="E56" s="238"/>
    </row>
    <row r="57" spans="1:5" x14ac:dyDescent="0.25">
      <c r="A57" s="235"/>
      <c r="B57" s="236"/>
      <c r="C57" s="237"/>
      <c r="D57" s="237"/>
      <c r="E57" s="238"/>
    </row>
    <row r="58" spans="1:5" x14ac:dyDescent="0.25">
      <c r="A58" s="235"/>
      <c r="B58" s="236"/>
      <c r="C58" s="237"/>
      <c r="D58" s="237"/>
      <c r="E58" s="238"/>
    </row>
    <row r="59" spans="1:5" x14ac:dyDescent="0.25">
      <c r="A59" s="235"/>
      <c r="B59" s="236"/>
      <c r="C59" s="237"/>
      <c r="D59" s="237"/>
      <c r="E59" s="238"/>
    </row>
    <row r="60" spans="1:5" x14ac:dyDescent="0.25">
      <c r="A60" s="235"/>
      <c r="B60" s="236"/>
      <c r="C60" s="237"/>
      <c r="D60" s="237"/>
      <c r="E60" s="238"/>
    </row>
    <row r="61" spans="1:5" x14ac:dyDescent="0.25">
      <c r="A61" s="235"/>
      <c r="B61" s="236"/>
      <c r="C61" s="237"/>
      <c r="D61" s="237"/>
      <c r="E61" s="238"/>
    </row>
    <row r="62" spans="1:5" x14ac:dyDescent="0.25">
      <c r="A62" s="235"/>
      <c r="B62" s="236"/>
      <c r="C62" s="237"/>
      <c r="D62" s="237"/>
      <c r="E62" s="238"/>
    </row>
    <row r="63" spans="1:5" x14ac:dyDescent="0.25">
      <c r="A63" s="235"/>
      <c r="B63" s="236"/>
      <c r="C63" s="237"/>
      <c r="D63" s="237"/>
      <c r="E63" s="238"/>
    </row>
    <row r="64" spans="1:5" x14ac:dyDescent="0.25">
      <c r="A64" s="235"/>
      <c r="B64" s="236"/>
      <c r="C64" s="237"/>
      <c r="D64" s="237"/>
      <c r="E64" s="238"/>
    </row>
    <row r="65" spans="1:5" x14ac:dyDescent="0.25">
      <c r="A65" s="235"/>
      <c r="B65" s="236"/>
      <c r="C65" s="237"/>
      <c r="D65" s="237"/>
      <c r="E65" s="238"/>
    </row>
    <row r="66" spans="1:5" x14ac:dyDescent="0.25">
      <c r="A66" s="235"/>
      <c r="B66" s="236"/>
      <c r="C66" s="237"/>
      <c r="D66" s="237"/>
      <c r="E66" s="238"/>
    </row>
    <row r="67" spans="1:5" x14ac:dyDescent="0.25">
      <c r="A67" s="235"/>
      <c r="B67" s="236"/>
      <c r="C67" s="237"/>
      <c r="D67" s="237"/>
      <c r="E67" s="238"/>
    </row>
    <row r="68" spans="1:5" x14ac:dyDescent="0.25">
      <c r="A68" s="235"/>
      <c r="B68" s="236"/>
      <c r="C68" s="237"/>
      <c r="D68" s="237"/>
      <c r="E68" s="238"/>
    </row>
    <row r="69" spans="1:5" x14ac:dyDescent="0.25">
      <c r="A69" s="235"/>
      <c r="B69" s="236"/>
      <c r="C69" s="237"/>
      <c r="D69" s="237"/>
      <c r="E69" s="238"/>
    </row>
    <row r="70" spans="1:5" x14ac:dyDescent="0.25">
      <c r="A70" s="235"/>
      <c r="B70" s="236"/>
      <c r="C70" s="237"/>
      <c r="D70" s="237"/>
      <c r="E70" s="238"/>
    </row>
    <row r="71" spans="1:5" x14ac:dyDescent="0.25">
      <c r="A71" s="235"/>
      <c r="B71" s="236"/>
      <c r="C71" s="237"/>
      <c r="D71" s="237"/>
      <c r="E71" s="238"/>
    </row>
    <row r="72" spans="1:5" x14ac:dyDescent="0.25">
      <c r="A72" s="235"/>
      <c r="B72" s="236"/>
      <c r="C72" s="237"/>
      <c r="D72" s="237"/>
      <c r="E72" s="238"/>
    </row>
    <row r="73" spans="1:5" x14ac:dyDescent="0.25">
      <c r="A73" s="235"/>
      <c r="B73" s="236"/>
      <c r="C73" s="237"/>
      <c r="D73" s="237"/>
      <c r="E73" s="238"/>
    </row>
    <row r="74" spans="1:5" x14ac:dyDescent="0.25">
      <c r="A74" s="235"/>
      <c r="B74" s="236"/>
      <c r="C74" s="237"/>
      <c r="D74" s="237"/>
      <c r="E74" s="238"/>
    </row>
    <row r="75" spans="1:5" x14ac:dyDescent="0.25">
      <c r="A75" s="235"/>
      <c r="B75" s="236"/>
      <c r="C75" s="237"/>
      <c r="D75" s="237"/>
      <c r="E75" s="238"/>
    </row>
    <row r="76" spans="1:5" x14ac:dyDescent="0.25">
      <c r="A76" s="235"/>
      <c r="B76" s="236"/>
      <c r="C76" s="237"/>
      <c r="D76" s="237"/>
      <c r="E76" s="238"/>
    </row>
    <row r="77" spans="1:5" x14ac:dyDescent="0.25">
      <c r="A77" s="235"/>
      <c r="B77" s="236"/>
      <c r="C77" s="237"/>
      <c r="D77" s="237"/>
      <c r="E77" s="238"/>
    </row>
    <row r="78" spans="1:5" x14ac:dyDescent="0.25">
      <c r="A78" s="235"/>
      <c r="B78" s="236"/>
      <c r="C78" s="237"/>
      <c r="D78" s="237"/>
      <c r="E78" s="238"/>
    </row>
    <row r="79" spans="1:5" x14ac:dyDescent="0.25">
      <c r="A79" s="235"/>
      <c r="B79" s="236"/>
      <c r="C79" s="237"/>
      <c r="D79" s="237"/>
      <c r="E79" s="238"/>
    </row>
    <row r="80" spans="1:5" x14ac:dyDescent="0.25">
      <c r="A80" s="235"/>
      <c r="B80" s="236"/>
      <c r="C80" s="237"/>
      <c r="D80" s="237"/>
      <c r="E80" s="238"/>
    </row>
    <row r="81" spans="1:5" x14ac:dyDescent="0.25">
      <c r="A81" s="235"/>
      <c r="B81" s="236"/>
      <c r="C81" s="237"/>
      <c r="D81" s="237"/>
      <c r="E81" s="238"/>
    </row>
    <row r="82" spans="1:5" x14ac:dyDescent="0.25">
      <c r="A82" s="235"/>
      <c r="B82" s="236"/>
      <c r="C82" s="237"/>
      <c r="D82" s="237"/>
      <c r="E82" s="238"/>
    </row>
    <row r="83" spans="1:5" x14ac:dyDescent="0.25">
      <c r="A83" s="235"/>
      <c r="B83" s="236"/>
      <c r="C83" s="237"/>
      <c r="D83" s="237"/>
      <c r="E83" s="238"/>
    </row>
    <row r="84" spans="1:5" x14ac:dyDescent="0.25">
      <c r="A84" s="235"/>
      <c r="B84" s="236"/>
      <c r="C84" s="237"/>
      <c r="D84" s="237"/>
      <c r="E84" s="238"/>
    </row>
    <row r="85" spans="1:5" x14ac:dyDescent="0.25">
      <c r="A85" s="235"/>
      <c r="B85" s="236"/>
      <c r="C85" s="237"/>
      <c r="D85" s="237"/>
      <c r="E85" s="238"/>
    </row>
    <row r="86" spans="1:5" x14ac:dyDescent="0.25">
      <c r="A86" s="235"/>
      <c r="B86" s="236"/>
      <c r="C86" s="237"/>
      <c r="D86" s="237"/>
      <c r="E86" s="238"/>
    </row>
    <row r="87" spans="1:5" x14ac:dyDescent="0.25">
      <c r="A87" s="235"/>
      <c r="B87" s="236"/>
      <c r="C87" s="237"/>
      <c r="D87" s="237"/>
      <c r="E87" s="238"/>
    </row>
    <row r="88" spans="1:5" x14ac:dyDescent="0.25">
      <c r="A88" s="235"/>
      <c r="B88" s="236"/>
      <c r="C88" s="237"/>
      <c r="D88" s="237"/>
      <c r="E88" s="238"/>
    </row>
    <row r="89" spans="1:5" x14ac:dyDescent="0.25">
      <c r="A89" s="235"/>
      <c r="B89" s="236"/>
      <c r="C89" s="237"/>
      <c r="D89" s="237"/>
      <c r="E89" s="238"/>
    </row>
    <row r="90" spans="1:5" x14ac:dyDescent="0.25">
      <c r="A90" s="235"/>
      <c r="B90" s="236"/>
      <c r="C90" s="237"/>
      <c r="D90" s="237"/>
      <c r="E90" s="238"/>
    </row>
    <row r="91" spans="1:5" x14ac:dyDescent="0.25">
      <c r="A91" s="235"/>
      <c r="B91" s="236"/>
      <c r="C91" s="237"/>
      <c r="D91" s="237"/>
      <c r="E91" s="238"/>
    </row>
    <row r="92" spans="1:5" x14ac:dyDescent="0.25">
      <c r="A92" s="235"/>
      <c r="B92" s="236"/>
      <c r="C92" s="237"/>
      <c r="D92" s="237"/>
      <c r="E92" s="238"/>
    </row>
    <row r="93" spans="1:5" x14ac:dyDescent="0.25">
      <c r="A93" s="235"/>
      <c r="B93" s="236"/>
      <c r="C93" s="237"/>
      <c r="D93" s="237"/>
      <c r="E93" s="238"/>
    </row>
    <row r="94" spans="1:5" x14ac:dyDescent="0.25">
      <c r="A94" s="235"/>
      <c r="B94" s="236"/>
      <c r="C94" s="237"/>
      <c r="D94" s="237"/>
      <c r="E94" s="238"/>
    </row>
    <row r="95" spans="1:5" x14ac:dyDescent="0.25">
      <c r="A95" s="235"/>
      <c r="B95" s="236"/>
      <c r="C95" s="237"/>
      <c r="D95" s="237"/>
      <c r="E95" s="238"/>
    </row>
    <row r="96" spans="1:5" x14ac:dyDescent="0.25">
      <c r="A96" s="235"/>
      <c r="B96" s="236"/>
      <c r="C96" s="237"/>
      <c r="D96" s="237"/>
      <c r="E96" s="238"/>
    </row>
    <row r="97" spans="1:5" x14ac:dyDescent="0.25">
      <c r="A97" s="235"/>
      <c r="B97" s="236"/>
      <c r="C97" s="237"/>
      <c r="D97" s="237"/>
      <c r="E97" s="238"/>
    </row>
    <row r="98" spans="1:5" x14ac:dyDescent="0.25">
      <c r="A98" s="235"/>
      <c r="B98" s="236"/>
      <c r="C98" s="237"/>
      <c r="D98" s="237"/>
      <c r="E98" s="238"/>
    </row>
    <row r="99" spans="1:5" x14ac:dyDescent="0.25">
      <c r="A99" s="235"/>
      <c r="B99" s="236"/>
      <c r="C99" s="237"/>
      <c r="D99" s="237"/>
      <c r="E99" s="238"/>
    </row>
    <row r="100" spans="1:5" x14ac:dyDescent="0.25">
      <c r="A100" s="235"/>
      <c r="B100" s="236"/>
      <c r="C100" s="237"/>
      <c r="D100" s="237"/>
      <c r="E100" s="238"/>
    </row>
    <row r="101" spans="1:5" x14ac:dyDescent="0.25">
      <c r="A101" s="235"/>
      <c r="B101" s="236"/>
      <c r="C101" s="237"/>
      <c r="D101" s="237"/>
      <c r="E101" s="238"/>
    </row>
    <row r="102" spans="1:5" x14ac:dyDescent="0.25">
      <c r="A102" s="235"/>
      <c r="B102" s="236"/>
      <c r="C102" s="237"/>
      <c r="D102" s="237"/>
      <c r="E102" s="238"/>
    </row>
    <row r="103" spans="1:5" x14ac:dyDescent="0.25">
      <c r="A103" s="235"/>
      <c r="B103" s="236"/>
      <c r="C103" s="237"/>
      <c r="D103" s="237"/>
      <c r="E103" s="238"/>
    </row>
    <row r="104" spans="1:5" x14ac:dyDescent="0.25">
      <c r="A104" s="235"/>
      <c r="B104" s="236"/>
      <c r="C104" s="237"/>
      <c r="D104" s="237"/>
      <c r="E104" s="238"/>
    </row>
    <row r="105" spans="1:5" x14ac:dyDescent="0.25">
      <c r="A105" s="235"/>
      <c r="B105" s="236"/>
      <c r="C105" s="237"/>
      <c r="D105" s="237"/>
      <c r="E105" s="238"/>
    </row>
    <row r="106" spans="1:5" x14ac:dyDescent="0.25">
      <c r="A106" s="235"/>
      <c r="B106" s="236"/>
      <c r="C106" s="237"/>
      <c r="D106" s="237"/>
      <c r="E106" s="238"/>
    </row>
    <row r="107" spans="1:5" x14ac:dyDescent="0.25">
      <c r="A107" s="235"/>
      <c r="B107" s="236"/>
      <c r="C107" s="237"/>
      <c r="D107" s="237"/>
      <c r="E107" s="238"/>
    </row>
    <row r="108" spans="1:5" x14ac:dyDescent="0.25">
      <c r="A108" s="235"/>
      <c r="B108" s="236"/>
      <c r="C108" s="237"/>
      <c r="D108" s="237"/>
      <c r="E108" s="238"/>
    </row>
    <row r="109" spans="1:5" x14ac:dyDescent="0.25">
      <c r="A109" s="235"/>
      <c r="B109" s="236"/>
      <c r="C109" s="237"/>
      <c r="D109" s="237"/>
      <c r="E109" s="238"/>
    </row>
    <row r="110" spans="1:5" x14ac:dyDescent="0.25">
      <c r="A110" s="235"/>
      <c r="B110" s="236"/>
      <c r="C110" s="237"/>
      <c r="D110" s="237"/>
      <c r="E110" s="238"/>
    </row>
    <row r="111" spans="1:5" x14ac:dyDescent="0.25">
      <c r="A111" s="235"/>
      <c r="B111" s="236"/>
      <c r="C111" s="237"/>
      <c r="D111" s="237"/>
      <c r="E111" s="238"/>
    </row>
    <row r="112" spans="1:5" x14ac:dyDescent="0.25">
      <c r="A112" s="235"/>
      <c r="B112" s="236"/>
      <c r="C112" s="237"/>
      <c r="D112" s="237"/>
      <c r="E112" s="238"/>
    </row>
    <row r="113" spans="1:5" x14ac:dyDescent="0.25">
      <c r="A113" s="235"/>
      <c r="B113" s="236"/>
      <c r="C113" s="237"/>
      <c r="D113" s="237"/>
      <c r="E113" s="238"/>
    </row>
    <row r="114" spans="1:5" x14ac:dyDescent="0.25">
      <c r="A114" s="235"/>
      <c r="B114" s="236"/>
      <c r="C114" s="237"/>
      <c r="D114" s="237"/>
      <c r="E114" s="238"/>
    </row>
    <row r="115" spans="1:5" x14ac:dyDescent="0.25">
      <c r="A115" s="235"/>
      <c r="B115" s="236"/>
      <c r="C115" s="237"/>
      <c r="D115" s="237"/>
      <c r="E115" s="238"/>
    </row>
    <row r="116" spans="1:5" x14ac:dyDescent="0.25">
      <c r="A116" s="235"/>
      <c r="B116" s="236"/>
      <c r="C116" s="237"/>
      <c r="D116" s="237"/>
      <c r="E116" s="238"/>
    </row>
    <row r="117" spans="1:5" x14ac:dyDescent="0.25">
      <c r="A117" s="235"/>
      <c r="B117" s="236"/>
      <c r="C117" s="237"/>
      <c r="D117" s="237"/>
      <c r="E117" s="238"/>
    </row>
    <row r="118" spans="1:5" x14ac:dyDescent="0.25">
      <c r="A118" s="235"/>
      <c r="B118" s="236"/>
      <c r="C118" s="237"/>
      <c r="D118" s="237"/>
      <c r="E118" s="238"/>
    </row>
    <row r="119" spans="1:5" x14ac:dyDescent="0.25">
      <c r="A119" s="235"/>
      <c r="B119" s="236"/>
      <c r="C119" s="237"/>
      <c r="D119" s="237"/>
      <c r="E119" s="238"/>
    </row>
    <row r="120" spans="1:5" x14ac:dyDescent="0.25">
      <c r="A120" s="235"/>
      <c r="B120" s="236"/>
      <c r="C120" s="237"/>
      <c r="D120" s="237"/>
      <c r="E120" s="238"/>
    </row>
    <row r="121" spans="1:5" x14ac:dyDescent="0.25">
      <c r="A121" s="235"/>
      <c r="B121" s="236"/>
      <c r="C121" s="237"/>
      <c r="D121" s="237"/>
      <c r="E121" s="238"/>
    </row>
  </sheetData>
  <mergeCells count="8">
    <mergeCell ref="J1:J2"/>
    <mergeCell ref="A29:E29"/>
    <mergeCell ref="A1:E2"/>
    <mergeCell ref="H1:H2"/>
    <mergeCell ref="I1:I2"/>
    <mergeCell ref="F1:F2"/>
    <mergeCell ref="G1:G2"/>
    <mergeCell ref="B21:D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"/>
  <sheetViews>
    <sheetView workbookViewId="0">
      <selection sqref="A1:H1"/>
    </sheetView>
  </sheetViews>
  <sheetFormatPr baseColWidth="10" defaultRowHeight="18.75" x14ac:dyDescent="0.3"/>
  <cols>
    <col min="2" max="2" width="22" customWidth="1"/>
    <col min="3" max="3" width="16.28515625" style="274" customWidth="1"/>
    <col min="4" max="4" width="30.140625" customWidth="1"/>
    <col min="5" max="5" width="21.5703125" style="348" customWidth="1"/>
    <col min="7" max="7" width="23.5703125" customWidth="1"/>
    <col min="8" max="8" width="13.5703125" customWidth="1"/>
    <col min="9" max="9" width="31.140625" customWidth="1"/>
    <col min="10" max="10" width="19.85546875" customWidth="1"/>
    <col min="11" max="11" width="12.7109375" bestFit="1" customWidth="1"/>
    <col min="12" max="12" width="21.7109375" customWidth="1"/>
    <col min="13" max="13" width="15" customWidth="1"/>
    <col min="14" max="14" width="30.85546875" customWidth="1"/>
    <col min="15" max="15" width="15.140625" customWidth="1"/>
    <col min="17" max="17" width="23" customWidth="1"/>
    <col min="18" max="18" width="16.28515625" customWidth="1"/>
    <col min="19" max="19" width="26.7109375" customWidth="1"/>
    <col min="20" max="20" width="17" customWidth="1"/>
    <col min="22" max="22" width="20.7109375" customWidth="1"/>
    <col min="23" max="23" width="15.42578125" customWidth="1"/>
    <col min="24" max="24" width="29.140625" customWidth="1"/>
    <col min="25" max="25" width="17.28515625" customWidth="1"/>
    <col min="27" max="27" width="22" customWidth="1"/>
    <col min="28" max="28" width="15" customWidth="1"/>
    <col min="29" max="29" width="31.42578125" customWidth="1"/>
    <col min="30" max="30" width="15.7109375" customWidth="1"/>
    <col min="32" max="32" width="22.85546875" customWidth="1"/>
    <col min="33" max="33" width="14.42578125" customWidth="1"/>
    <col min="34" max="34" width="27.140625" customWidth="1"/>
    <col min="35" max="35" width="16.5703125" customWidth="1"/>
    <col min="37" max="37" width="22.28515625" customWidth="1"/>
    <col min="38" max="38" width="15.140625" customWidth="1"/>
    <col min="39" max="39" width="30.140625" customWidth="1"/>
    <col min="40" max="40" width="15.7109375" customWidth="1"/>
    <col min="42" max="42" width="23.28515625" customWidth="1"/>
    <col min="43" max="43" width="16.7109375" customWidth="1"/>
    <col min="44" max="44" width="32.85546875" customWidth="1"/>
    <col min="45" max="45" width="18.42578125" customWidth="1"/>
    <col min="47" max="47" width="22.7109375" customWidth="1"/>
    <col min="48" max="48" width="16" customWidth="1"/>
    <col min="49" max="49" width="30.7109375" customWidth="1"/>
    <col min="50" max="50" width="16.85546875" customWidth="1"/>
    <col min="52" max="52" width="23.28515625" customWidth="1"/>
    <col min="53" max="53" width="16.140625" customWidth="1"/>
    <col min="54" max="54" width="30.5703125" customWidth="1"/>
    <col min="55" max="55" width="18.28515625" customWidth="1"/>
    <col min="57" max="57" width="22.140625" customWidth="1"/>
    <col min="58" max="58" width="15.28515625" customWidth="1"/>
    <col min="59" max="59" width="31" customWidth="1"/>
    <col min="60" max="60" width="17" customWidth="1"/>
  </cols>
  <sheetData>
    <row r="1" spans="1:60" ht="31.5" x14ac:dyDescent="0.5">
      <c r="A1" s="287" t="s">
        <v>346</v>
      </c>
      <c r="B1" s="287"/>
      <c r="C1" s="287"/>
      <c r="D1" s="287"/>
      <c r="E1" s="287"/>
      <c r="F1" s="287"/>
      <c r="G1" s="287"/>
      <c r="H1" s="287"/>
    </row>
    <row r="2" spans="1:60" ht="32.25" thickBot="1" x14ac:dyDescent="0.55000000000000004">
      <c r="A2" s="287" t="s">
        <v>152</v>
      </c>
      <c r="B2" s="287"/>
      <c r="C2" s="287"/>
      <c r="D2" s="287"/>
      <c r="E2" s="287"/>
      <c r="F2" s="287" t="s">
        <v>153</v>
      </c>
      <c r="G2" s="287"/>
      <c r="H2" s="287"/>
      <c r="I2" s="287"/>
      <c r="J2" s="287"/>
      <c r="K2" s="287" t="s">
        <v>154</v>
      </c>
      <c r="L2" s="287"/>
      <c r="M2" s="287"/>
      <c r="N2" s="287"/>
      <c r="O2" s="287"/>
      <c r="P2" s="287" t="s">
        <v>155</v>
      </c>
      <c r="Q2" s="287"/>
      <c r="R2" s="287"/>
      <c r="S2" s="287"/>
      <c r="T2" s="287"/>
      <c r="V2" s="368" t="s">
        <v>156</v>
      </c>
      <c r="W2" s="368"/>
      <c r="X2" s="368"/>
      <c r="Y2" s="368"/>
      <c r="Z2" s="367"/>
      <c r="AA2" s="368" t="s">
        <v>157</v>
      </c>
      <c r="AB2" s="368"/>
      <c r="AC2" s="368"/>
      <c r="AD2" s="368"/>
      <c r="AF2" s="368" t="s">
        <v>158</v>
      </c>
      <c r="AG2" s="368"/>
      <c r="AH2" s="368"/>
      <c r="AI2" s="368"/>
      <c r="AK2" s="368" t="s">
        <v>159</v>
      </c>
      <c r="AL2" s="368"/>
      <c r="AM2" s="368"/>
      <c r="AN2" s="368"/>
      <c r="AP2" s="368" t="s">
        <v>160</v>
      </c>
      <c r="AQ2" s="368"/>
      <c r="AR2" s="368"/>
      <c r="AS2" s="368"/>
      <c r="AU2" s="368" t="s">
        <v>161</v>
      </c>
      <c r="AV2" s="368"/>
      <c r="AW2" s="368"/>
      <c r="AX2" s="368"/>
      <c r="AZ2" s="368" t="s">
        <v>162</v>
      </c>
      <c r="BA2" s="368"/>
      <c r="BB2" s="368"/>
      <c r="BC2" s="368"/>
      <c r="BE2" s="368" t="s">
        <v>163</v>
      </c>
      <c r="BF2" s="368"/>
      <c r="BG2" s="368"/>
      <c r="BH2" s="368"/>
    </row>
    <row r="3" spans="1:60" ht="14.25" customHeight="1" thickBot="1" x14ac:dyDescent="0.3">
      <c r="A3" s="352"/>
      <c r="B3" s="349" t="s">
        <v>338</v>
      </c>
      <c r="C3" s="350"/>
      <c r="D3" s="349" t="s">
        <v>339</v>
      </c>
      <c r="E3" s="350"/>
      <c r="G3" s="281"/>
      <c r="H3" s="282"/>
      <c r="I3" s="282"/>
      <c r="J3" s="286"/>
      <c r="L3" s="281"/>
      <c r="M3" s="282"/>
      <c r="N3" s="282"/>
      <c r="O3" s="286"/>
      <c r="Q3" s="281"/>
      <c r="R3" s="282"/>
      <c r="S3" s="282"/>
      <c r="T3" s="286"/>
      <c r="V3" s="281"/>
      <c r="W3" s="282"/>
      <c r="X3" s="282"/>
      <c r="Y3" s="286"/>
      <c r="AA3" s="281"/>
      <c r="AB3" s="282"/>
      <c r="AC3" s="282"/>
      <c r="AD3" s="286"/>
      <c r="AF3" s="281"/>
      <c r="AG3" s="282"/>
      <c r="AH3" s="282"/>
      <c r="AI3" s="286"/>
      <c r="AK3" s="281"/>
      <c r="AL3" s="282"/>
      <c r="AM3" s="282"/>
      <c r="AN3" s="286"/>
      <c r="AP3" s="281"/>
      <c r="AQ3" s="282"/>
      <c r="AR3" s="282"/>
      <c r="AS3" s="286"/>
      <c r="AU3" s="281"/>
      <c r="AV3" s="282"/>
      <c r="AW3" s="282"/>
      <c r="AX3" s="286"/>
      <c r="AZ3" s="281"/>
      <c r="BA3" s="282"/>
      <c r="BB3" s="282"/>
      <c r="BC3" s="286"/>
      <c r="BE3" s="281"/>
      <c r="BF3" s="282"/>
      <c r="BG3" s="282"/>
      <c r="BH3" s="286"/>
    </row>
    <row r="4" spans="1:60" x14ac:dyDescent="0.3">
      <c r="A4" s="352"/>
      <c r="B4" s="281" t="s">
        <v>337</v>
      </c>
      <c r="C4" s="353">
        <v>200000000</v>
      </c>
      <c r="D4" s="355"/>
      <c r="E4" s="344"/>
      <c r="G4" s="24"/>
      <c r="H4" s="18"/>
      <c r="I4" s="18"/>
      <c r="J4" s="19"/>
      <c r="L4" s="24"/>
      <c r="M4" s="18"/>
      <c r="N4" s="18"/>
      <c r="O4" s="19"/>
      <c r="Q4" s="24"/>
      <c r="R4" s="18"/>
      <c r="S4" s="18"/>
      <c r="T4" s="19"/>
      <c r="V4" s="24"/>
      <c r="W4" s="18"/>
      <c r="X4" s="18"/>
      <c r="Y4" s="19"/>
      <c r="AA4" s="24"/>
      <c r="AB4" s="18"/>
      <c r="AC4" s="18"/>
      <c r="AD4" s="19"/>
      <c r="AF4" s="24"/>
      <c r="AG4" s="18"/>
      <c r="AH4" s="18"/>
      <c r="AI4" s="19"/>
      <c r="AK4" s="24"/>
      <c r="AL4" s="18"/>
      <c r="AM4" s="18"/>
      <c r="AN4" s="19"/>
      <c r="AP4" s="24"/>
      <c r="AQ4" s="18"/>
      <c r="AR4" s="18"/>
      <c r="AS4" s="19"/>
      <c r="AU4" s="24"/>
      <c r="AV4" s="18"/>
      <c r="AW4" s="18"/>
      <c r="AX4" s="19"/>
      <c r="AZ4" s="24"/>
      <c r="BA4" s="18"/>
      <c r="BB4" s="18"/>
      <c r="BC4" s="19"/>
      <c r="BE4" s="24"/>
      <c r="BF4" s="18"/>
      <c r="BG4" s="18"/>
      <c r="BH4" s="19"/>
    </row>
    <row r="5" spans="1:60" ht="15" x14ac:dyDescent="0.25">
      <c r="A5" s="352"/>
      <c r="B5" s="24" t="s">
        <v>332</v>
      </c>
      <c r="C5" s="346">
        <v>0</v>
      </c>
      <c r="D5" s="24"/>
      <c r="E5" s="346"/>
      <c r="G5" s="24" t="s">
        <v>332</v>
      </c>
      <c r="H5" s="30">
        <f>+'PRES-FINAL'!F18</f>
        <v>341000000</v>
      </c>
      <c r="I5" s="18"/>
      <c r="J5" s="19"/>
      <c r="L5" s="24" t="s">
        <v>332</v>
      </c>
      <c r="M5" s="30">
        <f>+'PRES-FINAL'!G18</f>
        <v>319000000</v>
      </c>
      <c r="N5" s="18"/>
      <c r="O5" s="19"/>
      <c r="Q5" s="24" t="s">
        <v>332</v>
      </c>
      <c r="R5" s="30">
        <f>+'PRES-FINAL'!H18</f>
        <v>341000000</v>
      </c>
      <c r="S5" s="18"/>
      <c r="T5" s="19"/>
      <c r="V5" s="24" t="s">
        <v>332</v>
      </c>
      <c r="W5" s="30">
        <f>+'PRES-FINAL'!I18</f>
        <v>330000000</v>
      </c>
      <c r="X5" s="18"/>
      <c r="Y5" s="19"/>
      <c r="AA5" s="24" t="s">
        <v>332</v>
      </c>
      <c r="AB5" s="30">
        <f>+'PRES-FINAL'!J18</f>
        <v>341000000</v>
      </c>
      <c r="AC5" s="18"/>
      <c r="AD5" s="19"/>
      <c r="AF5" s="24" t="s">
        <v>332</v>
      </c>
      <c r="AG5" s="30">
        <f>+'PRES-FINAL'!K18</f>
        <v>330000000</v>
      </c>
      <c r="AH5" s="18"/>
      <c r="AI5" s="19"/>
      <c r="AK5" s="24" t="s">
        <v>332</v>
      </c>
      <c r="AL5" s="30">
        <f>+'PRES-FINAL'!L18</f>
        <v>341000000</v>
      </c>
      <c r="AM5" s="18"/>
      <c r="AN5" s="19"/>
      <c r="AP5" s="24" t="s">
        <v>332</v>
      </c>
      <c r="AQ5" s="30">
        <f>+'PRES-FINAL'!M18</f>
        <v>341000000</v>
      </c>
      <c r="AR5" s="18"/>
      <c r="AS5" s="19"/>
      <c r="AU5" s="24" t="s">
        <v>332</v>
      </c>
      <c r="AV5" s="30">
        <f>+'PRES-FINAL'!N18</f>
        <v>330000000</v>
      </c>
      <c r="AW5" s="18"/>
      <c r="AX5" s="19"/>
      <c r="AZ5" s="24" t="s">
        <v>332</v>
      </c>
      <c r="BA5" s="30">
        <f>+'PRES-FINAL'!O18</f>
        <v>341000000</v>
      </c>
      <c r="BB5" s="18"/>
      <c r="BC5" s="19"/>
      <c r="BE5" s="24" t="s">
        <v>332</v>
      </c>
      <c r="BF5" s="30">
        <f>+'PRES-FINAL'!P18</f>
        <v>330000000</v>
      </c>
      <c r="BG5" s="18"/>
      <c r="BH5" s="19"/>
    </row>
    <row r="6" spans="1:60" ht="15" x14ac:dyDescent="0.25">
      <c r="A6" s="352"/>
      <c r="B6" s="24" t="s">
        <v>336</v>
      </c>
      <c r="C6" s="346">
        <f>+'PRES-FINAL'!F69</f>
        <v>121614.49027777778</v>
      </c>
      <c r="D6" s="24"/>
      <c r="E6" s="346"/>
      <c r="G6" s="24" t="s">
        <v>336</v>
      </c>
      <c r="H6" s="30">
        <f>+'PRES-FINAL'!G69</f>
        <v>347976.69926504628</v>
      </c>
      <c r="I6" s="18"/>
      <c r="J6" s="19"/>
      <c r="L6" s="24" t="s">
        <v>336</v>
      </c>
      <c r="M6" s="30">
        <f>+'PRES-FINAL'!H69</f>
        <v>639236.6674564284</v>
      </c>
      <c r="N6" s="18"/>
      <c r="O6" s="19"/>
      <c r="Q6" s="24" t="s">
        <v>336</v>
      </c>
      <c r="R6" s="30">
        <f>+'PRES-FINAL'!I69</f>
        <v>958674.38551527471</v>
      </c>
      <c r="S6" s="18"/>
      <c r="T6" s="19"/>
      <c r="V6" s="24" t="s">
        <v>336</v>
      </c>
      <c r="W6" s="30">
        <f>+'PRES-FINAL'!J69</f>
        <v>1265961.0107326994</v>
      </c>
      <c r="X6" s="18"/>
      <c r="Y6" s="19"/>
      <c r="AA6" s="24" t="s">
        <v>336</v>
      </c>
      <c r="AB6" s="30">
        <f>+'PRES-FINAL'!K69</f>
        <v>1588010.0802218635</v>
      </c>
      <c r="AC6" s="18"/>
      <c r="AD6" s="19"/>
      <c r="AF6" s="24" t="s">
        <v>336</v>
      </c>
      <c r="AG6" s="30">
        <f>+'PRES-FINAL'!L69</f>
        <v>1897918.937500566</v>
      </c>
      <c r="AH6" s="18"/>
      <c r="AI6" s="19"/>
      <c r="AK6" s="24" t="s">
        <v>336</v>
      </c>
      <c r="AL6" s="30">
        <f>+'PRES-FINAL'!M69</f>
        <v>2222601.1650179294</v>
      </c>
      <c r="AM6" s="18"/>
      <c r="AN6" s="19"/>
      <c r="AP6" s="24" t="s">
        <v>336</v>
      </c>
      <c r="AQ6" s="30">
        <f>+'PRES-FINAL'!N69</f>
        <v>2548636.2351499489</v>
      </c>
      <c r="AR6" s="18"/>
      <c r="AS6" s="19"/>
      <c r="AU6" s="24" t="s">
        <v>336</v>
      </c>
      <c r="AV6" s="30">
        <f>+'PRES-FINAL'!O69</f>
        <v>2862547.7014075178</v>
      </c>
      <c r="AW6" s="18"/>
      <c r="AX6" s="19"/>
      <c r="AZ6" s="24" t="s">
        <v>336</v>
      </c>
      <c r="BA6" s="30">
        <f>+'PRES-FINAL'!P69</f>
        <v>3191249.2154411604</v>
      </c>
      <c r="BB6" s="18"/>
      <c r="BC6" s="19"/>
      <c r="BE6" s="24" t="s">
        <v>336</v>
      </c>
      <c r="BF6" s="30">
        <f>+'PRES-FINAL'!Q69</f>
        <v>3507838.2357832757</v>
      </c>
      <c r="BG6" s="18"/>
      <c r="BH6" s="19"/>
    </row>
    <row r="7" spans="1:60" ht="15" x14ac:dyDescent="0.25">
      <c r="A7" s="352"/>
      <c r="B7" s="24"/>
      <c r="C7" s="346"/>
      <c r="D7" s="24" t="s">
        <v>333</v>
      </c>
      <c r="E7" s="346">
        <v>0</v>
      </c>
      <c r="G7" s="24"/>
      <c r="H7" s="18"/>
      <c r="I7" s="18" t="s">
        <v>333</v>
      </c>
      <c r="J7" s="283">
        <f>+'PRES-FINAL'!F22</f>
        <v>186000000</v>
      </c>
      <c r="L7" s="24"/>
      <c r="M7" s="18"/>
      <c r="N7" s="18" t="s">
        <v>333</v>
      </c>
      <c r="O7" s="283">
        <f>+'PRES-FINAL'!G22</f>
        <v>174000000</v>
      </c>
      <c r="Q7" s="24"/>
      <c r="R7" s="18"/>
      <c r="S7" s="18" t="s">
        <v>333</v>
      </c>
      <c r="T7" s="283">
        <f>+'PRES-FINAL'!H22</f>
        <v>186000000</v>
      </c>
      <c r="V7" s="24"/>
      <c r="W7" s="18"/>
      <c r="X7" s="18" t="s">
        <v>333</v>
      </c>
      <c r="Y7" s="283">
        <f>+'PRES-FINAL'!I22</f>
        <v>180000000</v>
      </c>
      <c r="AA7" s="24"/>
      <c r="AB7" s="18"/>
      <c r="AC7" s="18" t="s">
        <v>333</v>
      </c>
      <c r="AD7" s="283">
        <f>+'PRES-FINAL'!J22</f>
        <v>186000000</v>
      </c>
      <c r="AF7" s="24"/>
      <c r="AG7" s="18"/>
      <c r="AH7" s="18" t="s">
        <v>333</v>
      </c>
      <c r="AI7" s="283">
        <f>+'PRES-FINAL'!K22</f>
        <v>180000000</v>
      </c>
      <c r="AK7" s="24"/>
      <c r="AL7" s="18"/>
      <c r="AM7" s="18" t="s">
        <v>333</v>
      </c>
      <c r="AN7" s="283">
        <f>+'PRES-FINAL'!L22</f>
        <v>186000000</v>
      </c>
      <c r="AP7" s="24"/>
      <c r="AQ7" s="18"/>
      <c r="AR7" s="18" t="s">
        <v>333</v>
      </c>
      <c r="AS7" s="283">
        <f>+'PRES-FINAL'!M22</f>
        <v>186000000</v>
      </c>
      <c r="AU7" s="24"/>
      <c r="AV7" s="18"/>
      <c r="AW7" s="18" t="s">
        <v>333</v>
      </c>
      <c r="AX7" s="283">
        <f>+'PRES-FINAL'!N22</f>
        <v>180000000</v>
      </c>
      <c r="AZ7" s="24"/>
      <c r="BA7" s="18"/>
      <c r="BB7" s="18" t="s">
        <v>333</v>
      </c>
      <c r="BC7" s="283">
        <f>+'PRES-FINAL'!O22</f>
        <v>186000000</v>
      </c>
      <c r="BE7" s="24"/>
      <c r="BF7" s="18"/>
      <c r="BG7" s="18" t="s">
        <v>333</v>
      </c>
      <c r="BH7" s="283">
        <f>+'PRES-FINAL'!P22</f>
        <v>180000000</v>
      </c>
    </row>
    <row r="8" spans="1:60" ht="15" x14ac:dyDescent="0.25">
      <c r="A8" s="352"/>
      <c r="B8" s="24"/>
      <c r="C8" s="346"/>
      <c r="D8" s="24" t="s">
        <v>343</v>
      </c>
      <c r="E8" s="346">
        <f>+'PRES-FINAL'!F65</f>
        <v>2083333</v>
      </c>
      <c r="G8" s="24"/>
      <c r="H8" s="18"/>
      <c r="I8" s="18" t="s">
        <v>343</v>
      </c>
      <c r="J8" s="346">
        <f>+'PRES-FINAL'!K65</f>
        <v>2083333</v>
      </c>
      <c r="L8" s="24"/>
      <c r="M8" s="18"/>
      <c r="N8" s="18" t="s">
        <v>343</v>
      </c>
      <c r="O8" s="346">
        <f>+'PRES-FINAL'!P65</f>
        <v>2083333</v>
      </c>
      <c r="Q8" s="24"/>
      <c r="R8" s="18"/>
      <c r="S8" s="18" t="s">
        <v>343</v>
      </c>
      <c r="T8" s="346">
        <f>+'PRES-FINAL'!I65</f>
        <v>2083333</v>
      </c>
      <c r="V8" s="24"/>
      <c r="W8" s="18"/>
      <c r="X8" s="18" t="s">
        <v>343</v>
      </c>
      <c r="Y8" s="346">
        <f>+'PRES-FINAL'!N65</f>
        <v>2083333</v>
      </c>
      <c r="AA8" s="24"/>
      <c r="AB8" s="18"/>
      <c r="AC8" s="18" t="s">
        <v>343</v>
      </c>
      <c r="AD8" s="346">
        <f>+'PRES-FINAL'!K65</f>
        <v>2083333</v>
      </c>
      <c r="AF8" s="24"/>
      <c r="AG8" s="18"/>
      <c r="AH8" s="18" t="s">
        <v>343</v>
      </c>
      <c r="AI8" s="346">
        <f>+'PRES-FINAL'!L65</f>
        <v>2083333</v>
      </c>
      <c r="AK8" s="24"/>
      <c r="AL8" s="18"/>
      <c r="AM8" s="18" t="s">
        <v>343</v>
      </c>
      <c r="AN8" s="346">
        <f>+'PRES-FINAL'!M65</f>
        <v>2083333</v>
      </c>
      <c r="AP8" s="24"/>
      <c r="AQ8" s="18"/>
      <c r="AR8" s="18" t="s">
        <v>343</v>
      </c>
      <c r="AS8" s="346">
        <f>+'PRES-FINAL'!N65</f>
        <v>2083333</v>
      </c>
      <c r="AU8" s="24"/>
      <c r="AV8" s="18"/>
      <c r="AW8" s="18" t="s">
        <v>343</v>
      </c>
      <c r="AX8" s="346">
        <f>+'PRES-FINAL'!O65</f>
        <v>2083333</v>
      </c>
      <c r="AZ8" s="24"/>
      <c r="BA8" s="18"/>
      <c r="BB8" s="18" t="s">
        <v>343</v>
      </c>
      <c r="BC8" s="346">
        <f>+'PRES-FINAL'!P65</f>
        <v>2083333</v>
      </c>
      <c r="BE8" s="24"/>
      <c r="BF8" s="18"/>
      <c r="BG8" s="18" t="s">
        <v>343</v>
      </c>
      <c r="BH8" s="346">
        <f>+'PRES-FINAL'!Q65</f>
        <v>2083333</v>
      </c>
    </row>
    <row r="9" spans="1:60" ht="15" x14ac:dyDescent="0.25">
      <c r="A9" s="352"/>
      <c r="B9" s="24"/>
      <c r="C9" s="346"/>
      <c r="D9" s="24" t="s">
        <v>334</v>
      </c>
      <c r="E9" s="347">
        <f>+'PRES-FINAL'!F33</f>
        <v>6250000</v>
      </c>
      <c r="G9" s="24"/>
      <c r="H9" s="18"/>
      <c r="I9" s="18" t="s">
        <v>335</v>
      </c>
      <c r="J9" s="283">
        <f>+'PRES-FINAL'!F48</f>
        <v>63273873.666666664</v>
      </c>
      <c r="K9" s="273"/>
      <c r="L9" s="24"/>
      <c r="M9" s="18"/>
      <c r="N9" s="18" t="s">
        <v>335</v>
      </c>
      <c r="O9" s="283">
        <f>+'PRES-FINAL'!K48</f>
        <v>35931873.666666664</v>
      </c>
      <c r="Q9" s="24"/>
      <c r="R9" s="18"/>
      <c r="S9" s="18" t="s">
        <v>335</v>
      </c>
      <c r="T9" s="283">
        <f>+'PRES-FINAL'!P48</f>
        <v>35931873.666666664</v>
      </c>
      <c r="V9" s="24"/>
      <c r="W9" s="18"/>
      <c r="X9" s="18" t="s">
        <v>335</v>
      </c>
      <c r="Y9" s="283">
        <f>+'PRES-FINAL'!J48</f>
        <v>35953873.666666664</v>
      </c>
      <c r="AA9" s="24"/>
      <c r="AB9" s="18"/>
      <c r="AC9" s="18" t="s">
        <v>335</v>
      </c>
      <c r="AD9" s="283">
        <f>+'PRES-FINAL'!K48</f>
        <v>35931873.666666664</v>
      </c>
      <c r="AF9" s="24"/>
      <c r="AG9" s="18"/>
      <c r="AH9" s="18" t="s">
        <v>335</v>
      </c>
      <c r="AI9" s="283">
        <f>+'PRES-FINAL'!L48</f>
        <v>35953873.666666664</v>
      </c>
      <c r="AK9" s="24"/>
      <c r="AL9" s="18"/>
      <c r="AM9" s="18" t="s">
        <v>335</v>
      </c>
      <c r="AN9" s="283">
        <f>+'PRES-FINAL'!M48</f>
        <v>35953873.666666664</v>
      </c>
      <c r="AP9" s="24"/>
      <c r="AQ9" s="18"/>
      <c r="AR9" s="18" t="s">
        <v>335</v>
      </c>
      <c r="AS9" s="283">
        <f>+'PRES-FINAL'!N48</f>
        <v>35931873.666666664</v>
      </c>
      <c r="AU9" s="24"/>
      <c r="AV9" s="18"/>
      <c r="AW9" s="18" t="s">
        <v>335</v>
      </c>
      <c r="AX9" s="283">
        <f>+'PRES-FINAL'!O48</f>
        <v>35953873.666666664</v>
      </c>
      <c r="AZ9" s="24"/>
      <c r="BA9" s="18"/>
      <c r="BB9" s="18" t="s">
        <v>335</v>
      </c>
      <c r="BC9" s="283">
        <f>+'PRES-FINAL'!P48</f>
        <v>35931873.666666664</v>
      </c>
      <c r="BE9" s="24"/>
      <c r="BF9" s="18"/>
      <c r="BG9" s="18" t="s">
        <v>335</v>
      </c>
      <c r="BH9" s="283">
        <f>+'PRES-FINAL'!Q48</f>
        <v>35953873.666666664</v>
      </c>
    </row>
    <row r="10" spans="1:60" ht="15" x14ac:dyDescent="0.25">
      <c r="A10" s="352"/>
      <c r="B10" s="24"/>
      <c r="C10" s="346"/>
      <c r="D10" s="24" t="s">
        <v>335</v>
      </c>
      <c r="E10" s="346">
        <f>+'PRES-FINAL'!F48</f>
        <v>63273873.666666664</v>
      </c>
      <c r="G10" s="24"/>
      <c r="H10" s="18"/>
      <c r="I10" s="18" t="s">
        <v>247</v>
      </c>
      <c r="J10" s="283">
        <f>+'PRES-FINAL'!F77</f>
        <v>29187477.666666668</v>
      </c>
      <c r="L10" s="24"/>
      <c r="M10" s="18"/>
      <c r="N10" s="18" t="s">
        <v>247</v>
      </c>
      <c r="O10" s="283">
        <f>+'PRES-FINAL'!K77</f>
        <v>39194677.666666664</v>
      </c>
      <c r="Q10" s="24"/>
      <c r="R10" s="18"/>
      <c r="S10" s="18" t="s">
        <v>247</v>
      </c>
      <c r="T10" s="283">
        <f>+'PRES-FINAL'!P77</f>
        <v>39194677.666666664</v>
      </c>
      <c r="V10" s="24"/>
      <c r="W10" s="18"/>
      <c r="X10" s="18" t="s">
        <v>247</v>
      </c>
      <c r="Y10" s="283">
        <f>+'PRES-FINAL'!J77</f>
        <v>40936977.666666664</v>
      </c>
      <c r="AA10" s="24"/>
      <c r="AB10" s="18"/>
      <c r="AC10" s="18" t="s">
        <v>247</v>
      </c>
      <c r="AD10" s="283">
        <f>+'PRES-FINAL'!K77</f>
        <v>39194677.666666664</v>
      </c>
      <c r="AF10" s="24"/>
      <c r="AG10" s="18"/>
      <c r="AH10" s="18" t="s">
        <v>247</v>
      </c>
      <c r="AI10" s="283">
        <f>+'PRES-FINAL'!L77</f>
        <v>40936977.666666664</v>
      </c>
      <c r="AK10" s="24"/>
      <c r="AL10" s="18"/>
      <c r="AM10" s="18" t="s">
        <v>247</v>
      </c>
      <c r="AN10" s="283">
        <f>+'PRES-FINAL'!M77</f>
        <v>40936977.666666664</v>
      </c>
      <c r="AP10" s="24"/>
      <c r="AQ10" s="18"/>
      <c r="AR10" s="18" t="s">
        <v>247</v>
      </c>
      <c r="AS10" s="283">
        <f>+'PRES-FINAL'!N77</f>
        <v>39194677.666666664</v>
      </c>
      <c r="AU10" s="24"/>
      <c r="AV10" s="18"/>
      <c r="AW10" s="18" t="s">
        <v>247</v>
      </c>
      <c r="AX10" s="283">
        <f>+'PRES-FINAL'!O77</f>
        <v>40936977.666666664</v>
      </c>
      <c r="AZ10" s="24"/>
      <c r="BA10" s="18"/>
      <c r="BB10" s="18" t="s">
        <v>247</v>
      </c>
      <c r="BC10" s="283">
        <f>+'PRES-FINAL'!P77</f>
        <v>39194677.666666664</v>
      </c>
      <c r="BE10" s="24"/>
      <c r="BF10" s="18"/>
      <c r="BG10" s="18" t="s">
        <v>247</v>
      </c>
      <c r="BH10" s="283">
        <f>+'PRES-FINAL'!Q77</f>
        <v>40936977.666666664</v>
      </c>
    </row>
    <row r="11" spans="1:60" ht="15" x14ac:dyDescent="0.25">
      <c r="A11" s="352"/>
      <c r="B11" s="284"/>
      <c r="C11" s="346"/>
      <c r="D11" s="24" t="s">
        <v>247</v>
      </c>
      <c r="E11" s="346">
        <f>+'PRES-FINAL'!F77</f>
        <v>29187477.666666668</v>
      </c>
      <c r="G11" s="284"/>
      <c r="H11" s="18"/>
      <c r="I11" s="351" t="s">
        <v>344</v>
      </c>
      <c r="J11" s="346">
        <v>5637297</v>
      </c>
      <c r="L11" s="284"/>
      <c r="M11" s="18"/>
      <c r="N11" s="351" t="s">
        <v>344</v>
      </c>
      <c r="O11" s="346">
        <v>5637297</v>
      </c>
      <c r="Q11" s="284"/>
      <c r="R11" s="18"/>
      <c r="S11" s="351" t="s">
        <v>344</v>
      </c>
      <c r="T11" s="346">
        <v>5637297</v>
      </c>
      <c r="V11" s="284"/>
      <c r="W11" s="18"/>
      <c r="X11" s="351" t="s">
        <v>344</v>
      </c>
      <c r="Y11" s="346">
        <v>5637297</v>
      </c>
      <c r="AA11" s="284"/>
      <c r="AB11" s="18"/>
      <c r="AC11" s="351" t="s">
        <v>344</v>
      </c>
      <c r="AD11" s="346">
        <v>5637297</v>
      </c>
      <c r="AF11" s="284"/>
      <c r="AG11" s="18"/>
      <c r="AH11" s="351" t="s">
        <v>344</v>
      </c>
      <c r="AI11" s="346">
        <v>5637297</v>
      </c>
      <c r="AK11" s="284"/>
      <c r="AL11" s="18"/>
      <c r="AM11" s="351" t="s">
        <v>344</v>
      </c>
      <c r="AN11" s="346">
        <v>5637297</v>
      </c>
      <c r="AP11" s="284"/>
      <c r="AQ11" s="18"/>
      <c r="AR11" s="351" t="s">
        <v>344</v>
      </c>
      <c r="AS11" s="346">
        <v>5637297</v>
      </c>
      <c r="AU11" s="284"/>
      <c r="AV11" s="18"/>
      <c r="AW11" s="351" t="s">
        <v>344</v>
      </c>
      <c r="AX11" s="346">
        <v>5637297</v>
      </c>
      <c r="AZ11" s="284"/>
      <c r="BA11" s="18"/>
      <c r="BB11" s="351" t="s">
        <v>344</v>
      </c>
      <c r="BC11" s="346">
        <v>5637297</v>
      </c>
      <c r="BE11" s="284"/>
      <c r="BF11" s="18"/>
      <c r="BG11" s="351" t="s">
        <v>344</v>
      </c>
      <c r="BH11" s="346">
        <v>5637297</v>
      </c>
    </row>
    <row r="12" spans="1:60" ht="15.75" thickBot="1" x14ac:dyDescent="0.3">
      <c r="A12" s="352"/>
      <c r="B12" s="24"/>
      <c r="C12" s="346"/>
      <c r="D12" s="356" t="s">
        <v>344</v>
      </c>
      <c r="E12" s="346">
        <v>5637297</v>
      </c>
      <c r="G12" s="24"/>
      <c r="H12" s="18"/>
      <c r="I12" s="18"/>
      <c r="J12" s="19"/>
      <c r="K12" s="268"/>
      <c r="L12" s="24"/>
      <c r="M12" s="18"/>
      <c r="N12" s="18"/>
      <c r="O12" s="19"/>
      <c r="Q12" s="24"/>
      <c r="R12" s="18"/>
      <c r="S12" s="18"/>
      <c r="T12" s="19"/>
      <c r="V12" s="24"/>
      <c r="W12" s="18"/>
      <c r="X12" s="18"/>
      <c r="Y12" s="19"/>
      <c r="AA12" s="24"/>
      <c r="AB12" s="18"/>
      <c r="AC12" s="18"/>
      <c r="AD12" s="19"/>
      <c r="AF12" s="24"/>
      <c r="AG12" s="18"/>
      <c r="AH12" s="18"/>
      <c r="AI12" s="19"/>
      <c r="AK12" s="24"/>
      <c r="AL12" s="18"/>
      <c r="AM12" s="18"/>
      <c r="AN12" s="19"/>
      <c r="AP12" s="24"/>
      <c r="AQ12" s="18"/>
      <c r="AR12" s="18"/>
      <c r="AS12" s="19"/>
      <c r="AU12" s="24"/>
      <c r="AV12" s="18"/>
      <c r="AW12" s="18"/>
      <c r="AX12" s="19"/>
      <c r="AZ12" s="24"/>
      <c r="BA12" s="18"/>
      <c r="BB12" s="18"/>
      <c r="BC12" s="19"/>
      <c r="BE12" s="24"/>
      <c r="BF12" s="18"/>
      <c r="BG12" s="18"/>
      <c r="BH12" s="19"/>
    </row>
    <row r="13" spans="1:60" ht="19.5" thickBot="1" x14ac:dyDescent="0.35">
      <c r="A13" s="270"/>
      <c r="B13" s="285" t="s">
        <v>340</v>
      </c>
      <c r="C13" s="354">
        <f>SUM(C4:C12)</f>
        <v>200121614.49027777</v>
      </c>
      <c r="D13" s="24"/>
      <c r="E13" s="345"/>
      <c r="G13" s="358" t="s">
        <v>340</v>
      </c>
      <c r="H13" s="359">
        <f>SUM(H4:H12)</f>
        <v>341347976.69926506</v>
      </c>
      <c r="I13" s="18"/>
      <c r="J13" s="345"/>
      <c r="L13" s="358" t="s">
        <v>340</v>
      </c>
      <c r="M13" s="359">
        <f>SUM(M4:M12)</f>
        <v>319639236.66745645</v>
      </c>
      <c r="N13" s="18"/>
      <c r="O13" s="345"/>
      <c r="Q13" s="358" t="s">
        <v>340</v>
      </c>
      <c r="R13" s="359">
        <f>SUM(R4:R12)</f>
        <v>341958674.38551527</v>
      </c>
      <c r="S13" s="18"/>
      <c r="T13" s="345"/>
      <c r="V13" s="358" t="s">
        <v>340</v>
      </c>
      <c r="W13" s="359">
        <f>SUM(W4:W12)</f>
        <v>331265961.01073271</v>
      </c>
      <c r="X13" s="18"/>
      <c r="Y13" s="345"/>
      <c r="AA13" s="358" t="s">
        <v>340</v>
      </c>
      <c r="AB13" s="359">
        <f>SUM(AB4:AB12)</f>
        <v>342588010.08022189</v>
      </c>
      <c r="AC13" s="18"/>
      <c r="AD13" s="345"/>
      <c r="AF13" s="358" t="s">
        <v>340</v>
      </c>
      <c r="AG13" s="359">
        <f>SUM(AG4:AG12)</f>
        <v>331897918.93750054</v>
      </c>
      <c r="AH13" s="18"/>
      <c r="AI13" s="345"/>
      <c r="AK13" s="358" t="s">
        <v>340</v>
      </c>
      <c r="AL13" s="359">
        <f>SUM(AL4:AL12)</f>
        <v>343222601.1650179</v>
      </c>
      <c r="AM13" s="18"/>
      <c r="AN13" s="345"/>
      <c r="AP13" s="358" t="s">
        <v>340</v>
      </c>
      <c r="AQ13" s="359">
        <f>SUM(AQ4:AQ12)</f>
        <v>343548636.23514992</v>
      </c>
      <c r="AR13" s="18"/>
      <c r="AS13" s="345"/>
      <c r="AU13" s="358" t="s">
        <v>340</v>
      </c>
      <c r="AV13" s="359">
        <f>SUM(AV4:AV12)</f>
        <v>332862547.70140749</v>
      </c>
      <c r="AW13" s="18"/>
      <c r="AX13" s="345"/>
      <c r="AZ13" s="358" t="s">
        <v>340</v>
      </c>
      <c r="BA13" s="359">
        <f>SUM(BA4:BA12)</f>
        <v>344191249.21544117</v>
      </c>
      <c r="BB13" s="18"/>
      <c r="BC13" s="345"/>
      <c r="BE13" s="358" t="s">
        <v>340</v>
      </c>
      <c r="BF13" s="359">
        <f>SUM(BF4:BF12)</f>
        <v>333507838.23578328</v>
      </c>
      <c r="BG13" s="18"/>
      <c r="BH13" s="345"/>
    </row>
    <row r="14" spans="1:60" ht="18.75" customHeight="1" thickBot="1" x14ac:dyDescent="0.3">
      <c r="A14" s="352"/>
      <c r="B14" s="24"/>
      <c r="C14" s="343"/>
      <c r="D14" s="285" t="s">
        <v>341</v>
      </c>
      <c r="E14" s="357">
        <f>SUM(E7:E13)</f>
        <v>106431981.33333333</v>
      </c>
      <c r="G14" s="24"/>
      <c r="H14" s="343"/>
      <c r="I14" s="281" t="s">
        <v>341</v>
      </c>
      <c r="J14" s="361">
        <f>SUM(J7:J13)</f>
        <v>286181981.33333331</v>
      </c>
      <c r="L14" s="24"/>
      <c r="M14" s="343"/>
      <c r="N14" s="281" t="s">
        <v>341</v>
      </c>
      <c r="O14" s="361">
        <f>SUM(O7:O13)</f>
        <v>256847181.33333331</v>
      </c>
      <c r="Q14" s="24"/>
      <c r="R14" s="343"/>
      <c r="S14" s="281" t="s">
        <v>341</v>
      </c>
      <c r="T14" s="361">
        <f>SUM(T7:T13)</f>
        <v>268847181.33333331</v>
      </c>
      <c r="V14" s="24"/>
      <c r="W14" s="343"/>
      <c r="X14" s="281" t="s">
        <v>341</v>
      </c>
      <c r="Y14" s="361">
        <f>SUM(Y7:Y13)</f>
        <v>264611481.33333331</v>
      </c>
      <c r="AA14" s="24"/>
      <c r="AB14" s="343"/>
      <c r="AC14" s="281" t="s">
        <v>341</v>
      </c>
      <c r="AD14" s="361">
        <f>SUM(AD7:AD13)</f>
        <v>268847181.33333331</v>
      </c>
      <c r="AF14" s="24"/>
      <c r="AG14" s="343"/>
      <c r="AH14" s="281" t="s">
        <v>341</v>
      </c>
      <c r="AI14" s="361">
        <f>SUM(AI7:AI13)</f>
        <v>264611481.33333331</v>
      </c>
      <c r="AK14" s="24"/>
      <c r="AL14" s="343"/>
      <c r="AM14" s="281" t="s">
        <v>341</v>
      </c>
      <c r="AN14" s="361">
        <f>SUM(AN7:AN13)</f>
        <v>270611481.33333331</v>
      </c>
      <c r="AP14" s="24"/>
      <c r="AQ14" s="343"/>
      <c r="AR14" s="281" t="s">
        <v>341</v>
      </c>
      <c r="AS14" s="361">
        <f>SUM(AS7:AS13)</f>
        <v>268847181.33333331</v>
      </c>
      <c r="AU14" s="24"/>
      <c r="AV14" s="343"/>
      <c r="AW14" s="281" t="s">
        <v>341</v>
      </c>
      <c r="AX14" s="361">
        <f>SUM(AX7:AX13)</f>
        <v>264611481.33333331</v>
      </c>
      <c r="AZ14" s="24"/>
      <c r="BA14" s="343"/>
      <c r="BB14" s="281" t="s">
        <v>341</v>
      </c>
      <c r="BC14" s="361">
        <f>SUM(BC7:BC13)</f>
        <v>268847181.33333331</v>
      </c>
      <c r="BE14" s="24"/>
      <c r="BF14" s="343"/>
      <c r="BG14" s="281" t="s">
        <v>341</v>
      </c>
      <c r="BH14" s="361">
        <f>SUM(BH7:BH13)</f>
        <v>264611481.33333331</v>
      </c>
    </row>
    <row r="15" spans="1:60" s="181" customFormat="1" ht="21.75" thickBot="1" x14ac:dyDescent="0.4">
      <c r="A15" s="364"/>
      <c r="B15" s="360" t="s">
        <v>342</v>
      </c>
      <c r="C15" s="362" t="s">
        <v>179</v>
      </c>
      <c r="D15" s="365">
        <f>+C13-E14</f>
        <v>93689633.156944439</v>
      </c>
      <c r="E15" s="366" t="s">
        <v>179</v>
      </c>
      <c r="G15" s="313" t="s">
        <v>342</v>
      </c>
      <c r="H15" s="328"/>
      <c r="I15" s="363">
        <f>+H13-J14</f>
        <v>55165995.365931749</v>
      </c>
      <c r="J15" s="366" t="s">
        <v>179</v>
      </c>
      <c r="L15" s="313" t="s">
        <v>342</v>
      </c>
      <c r="M15" s="328"/>
      <c r="N15" s="363">
        <f>+M13-O14</f>
        <v>62792055.334123135</v>
      </c>
      <c r="O15" s="366" t="s">
        <v>179</v>
      </c>
      <c r="Q15" s="313" t="s">
        <v>342</v>
      </c>
      <c r="R15" s="328"/>
      <c r="S15" s="363">
        <f>+R13-T14</f>
        <v>73111493.052181959</v>
      </c>
      <c r="T15" s="366" t="s">
        <v>179</v>
      </c>
      <c r="V15" s="313" t="s">
        <v>342</v>
      </c>
      <c r="W15" s="328"/>
      <c r="X15" s="363">
        <f>+W13-Y14</f>
        <v>66654479.677399397</v>
      </c>
      <c r="Y15" s="366" t="s">
        <v>179</v>
      </c>
      <c r="AA15" s="313" t="s">
        <v>342</v>
      </c>
      <c r="AB15" s="328"/>
      <c r="AC15" s="363">
        <f>+AB13-AD14</f>
        <v>73740828.746888578</v>
      </c>
      <c r="AD15" s="366" t="s">
        <v>179</v>
      </c>
      <c r="AF15" s="313" t="s">
        <v>342</v>
      </c>
      <c r="AG15" s="328"/>
      <c r="AH15" s="363">
        <f>+AG13-AI14</f>
        <v>67286437.604167223</v>
      </c>
      <c r="AI15" s="366" t="s">
        <v>179</v>
      </c>
      <c r="AK15" s="313" t="s">
        <v>342</v>
      </c>
      <c r="AL15" s="328"/>
      <c r="AM15" s="363">
        <f>+AL13-AN14</f>
        <v>72611119.831684589</v>
      </c>
      <c r="AN15" s="366" t="s">
        <v>179</v>
      </c>
      <c r="AP15" s="313" t="s">
        <v>342</v>
      </c>
      <c r="AQ15" s="328"/>
      <c r="AR15" s="363">
        <f>+AQ13-AS14</f>
        <v>74701454.901816607</v>
      </c>
      <c r="AS15" s="366" t="s">
        <v>179</v>
      </c>
      <c r="AU15" s="313" t="s">
        <v>342</v>
      </c>
      <c r="AV15" s="328"/>
      <c r="AW15" s="363">
        <f>+AV13-AX14</f>
        <v>68251066.368074179</v>
      </c>
      <c r="AX15" s="366" t="s">
        <v>179</v>
      </c>
      <c r="AZ15" s="313" t="s">
        <v>342</v>
      </c>
      <c r="BA15" s="328"/>
      <c r="BB15" s="363">
        <f>+BA13-BC14</f>
        <v>75344067.882107854</v>
      </c>
      <c r="BC15" s="366" t="s">
        <v>179</v>
      </c>
      <c r="BE15" s="313" t="s">
        <v>342</v>
      </c>
      <c r="BF15" s="328"/>
      <c r="BG15" s="363">
        <f>+BF13-BH14</f>
        <v>68896356.902449965</v>
      </c>
      <c r="BH15" s="366" t="s">
        <v>179</v>
      </c>
    </row>
  </sheetData>
  <mergeCells count="26">
    <mergeCell ref="AP2:AS2"/>
    <mergeCell ref="AU2:AX2"/>
    <mergeCell ref="AZ2:BC2"/>
    <mergeCell ref="BE2:BH2"/>
    <mergeCell ref="V2:Y2"/>
    <mergeCell ref="AA2:AD2"/>
    <mergeCell ref="AF2:AI2"/>
    <mergeCell ref="AK2:AN2"/>
    <mergeCell ref="AK15:AL15"/>
    <mergeCell ref="AP15:AQ15"/>
    <mergeCell ref="AU15:AV15"/>
    <mergeCell ref="AZ15:BA15"/>
    <mergeCell ref="BE15:BF15"/>
    <mergeCell ref="L15:M15"/>
    <mergeCell ref="Q15:R15"/>
    <mergeCell ref="V15:W15"/>
    <mergeCell ref="AA15:AB15"/>
    <mergeCell ref="AF15:AG15"/>
    <mergeCell ref="B3:C3"/>
    <mergeCell ref="D3:E3"/>
    <mergeCell ref="G15:H15"/>
    <mergeCell ref="K2:O2"/>
    <mergeCell ref="P2:T2"/>
    <mergeCell ref="A1:H1"/>
    <mergeCell ref="A2:E2"/>
    <mergeCell ref="F2:J2"/>
  </mergeCells>
  <pageMargins left="0.7" right="0.7" top="0.75" bottom="0.75" header="0.3" footer="0.3"/>
  <pageSetup orientation="portrait" r:id="rId1"/>
  <ignoredErrors>
    <ignoredError sqref="AS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C19" sqref="B19:C19"/>
    </sheetView>
  </sheetViews>
  <sheetFormatPr baseColWidth="10" defaultRowHeight="15" x14ac:dyDescent="0.25"/>
  <cols>
    <col min="2" max="13" width="22.7109375" style="275" customWidth="1"/>
  </cols>
  <sheetData>
    <row r="1" spans="1:13" x14ac:dyDescent="0.25">
      <c r="B1" s="342" t="s">
        <v>327</v>
      </c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</row>
    <row r="2" spans="1:13" x14ac:dyDescent="0.25">
      <c r="A2" s="142" t="s">
        <v>329</v>
      </c>
      <c r="B2" s="276" t="s">
        <v>152</v>
      </c>
      <c r="C2" s="276" t="s">
        <v>153</v>
      </c>
      <c r="D2" s="276" t="s">
        <v>154</v>
      </c>
      <c r="E2" s="276" t="s">
        <v>155</v>
      </c>
      <c r="F2" s="276" t="s">
        <v>156</v>
      </c>
      <c r="G2" s="276" t="s">
        <v>157</v>
      </c>
      <c r="H2" s="276" t="s">
        <v>158</v>
      </c>
      <c r="I2" s="276" t="s">
        <v>328</v>
      </c>
      <c r="J2" s="276" t="s">
        <v>160</v>
      </c>
      <c r="K2" s="276" t="s">
        <v>161</v>
      </c>
      <c r="L2" s="276" t="s">
        <v>162</v>
      </c>
      <c r="M2" s="276" t="s">
        <v>163</v>
      </c>
    </row>
    <row r="3" spans="1:13" x14ac:dyDescent="0.25">
      <c r="A3" s="277">
        <v>0.05</v>
      </c>
      <c r="B3" s="278">
        <f>+'FLUJO DE CAJA'!E11</f>
        <v>29187477.666666668</v>
      </c>
      <c r="C3" s="278">
        <f>+B5+'PRES-FINAL'!F78</f>
        <v>83514407.82361111</v>
      </c>
      <c r="D3" s="278">
        <f>+C5+'PRES-FINAL'!G78</f>
        <v>153416800.18954283</v>
      </c>
      <c r="E3" s="278">
        <f>+D5+'PRES-FINAL'!H78</f>
        <v>230081852.52366593</v>
      </c>
      <c r="F3" s="278">
        <f>+E5+'PRES-FINAL'!I78</f>
        <v>303830642.57584786</v>
      </c>
      <c r="G3" s="278">
        <f>+F5+'PRES-FINAL'!J78</f>
        <v>381122419.25324726</v>
      </c>
      <c r="H3" s="278">
        <f>+G5+'PRES-FINAL'!K78</f>
        <v>455500545.00013584</v>
      </c>
      <c r="I3" s="278">
        <f>+H5+'PRES-FINAL'!L78</f>
        <v>533424279.60430306</v>
      </c>
      <c r="J3" s="278">
        <f>+I5+'PRES-FINAL'!M78</f>
        <v>611672696.43598771</v>
      </c>
      <c r="K3" s="278">
        <f>+J5+'PRES-FINAL'!N78</f>
        <v>687011448.33780432</v>
      </c>
      <c r="L3" s="278">
        <f>+K5+'PRES-FINAL'!O78</f>
        <v>765899811.7058785</v>
      </c>
      <c r="M3" s="278">
        <f>+L5+'PRES-FINAL'!P78</f>
        <v>841881176.58798623</v>
      </c>
    </row>
    <row r="4" spans="1:13" x14ac:dyDescent="0.25">
      <c r="A4" s="279">
        <v>12</v>
      </c>
      <c r="B4" s="278">
        <f>+B3*A5</f>
        <v>121614.49027777778</v>
      </c>
      <c r="C4" s="278">
        <f>+C3*A5</f>
        <v>347976.69926504628</v>
      </c>
      <c r="D4" s="278">
        <f>+A5*D3</f>
        <v>639236.6674564284</v>
      </c>
      <c r="E4" s="278">
        <f>+A5*E3</f>
        <v>958674.38551527471</v>
      </c>
      <c r="F4" s="278">
        <f>+A5*F3</f>
        <v>1265961.0107326994</v>
      </c>
      <c r="G4" s="278">
        <f>+G3*A5</f>
        <v>1588010.0802218635</v>
      </c>
      <c r="H4" s="278">
        <f>+H3*A5</f>
        <v>1897918.937500566</v>
      </c>
      <c r="I4" s="278">
        <f>+I3*A5</f>
        <v>2222601.1650179294</v>
      </c>
      <c r="J4" s="276">
        <f>+A5*J3</f>
        <v>2548636.2351499489</v>
      </c>
      <c r="K4" s="276">
        <f>+A5*K3</f>
        <v>2862547.7014075178</v>
      </c>
      <c r="L4" s="276">
        <f>+A5*L3</f>
        <v>3191249.2154411604</v>
      </c>
      <c r="M4" s="276">
        <f>+A5*M3</f>
        <v>3507838.2357832757</v>
      </c>
    </row>
    <row r="5" spans="1:13" x14ac:dyDescent="0.25">
      <c r="A5" s="280">
        <f>+A3/A4</f>
        <v>4.1666666666666666E-3</v>
      </c>
      <c r="B5" s="278">
        <f>SUM(B3:B4)</f>
        <v>29309092.156944446</v>
      </c>
      <c r="C5" s="278">
        <f t="shared" ref="C5:M5" si="0">SUM(C3:C4)</f>
        <v>83862384.522876158</v>
      </c>
      <c r="D5" s="278">
        <f t="shared" si="0"/>
        <v>154056036.85699925</v>
      </c>
      <c r="E5" s="278">
        <f t="shared" si="0"/>
        <v>231040526.90918121</v>
      </c>
      <c r="F5" s="278">
        <f t="shared" si="0"/>
        <v>305096603.58658057</v>
      </c>
      <c r="G5" s="278">
        <f t="shared" si="0"/>
        <v>382710429.33346915</v>
      </c>
      <c r="H5" s="278">
        <f t="shared" si="0"/>
        <v>457398463.93763638</v>
      </c>
      <c r="I5" s="278">
        <f t="shared" si="0"/>
        <v>535646880.76932096</v>
      </c>
      <c r="J5" s="278">
        <f t="shared" si="0"/>
        <v>614221332.67113769</v>
      </c>
      <c r="K5" s="278">
        <f t="shared" si="0"/>
        <v>689873996.03921187</v>
      </c>
      <c r="L5" s="278">
        <f t="shared" si="0"/>
        <v>769091060.9213196</v>
      </c>
      <c r="M5" s="278">
        <f t="shared" si="0"/>
        <v>845389014.82376945</v>
      </c>
    </row>
  </sheetData>
  <mergeCells count="1">
    <mergeCell ref="B1:M1"/>
  </mergeCells>
  <pageMargins left="0.7" right="0.7" top="0.75" bottom="0.75" header="0.3" footer="0.3"/>
  <ignoredErrors>
    <ignoredError sqref="G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workbookViewId="0">
      <pane ySplit="2" topLeftCell="A36" activePane="bottomLeft" state="frozen"/>
      <selection pane="bottomLeft" activeCell="D9" sqref="D9"/>
    </sheetView>
  </sheetViews>
  <sheetFormatPr baseColWidth="10" defaultRowHeight="15" x14ac:dyDescent="0.25"/>
  <cols>
    <col min="1" max="1" width="20" customWidth="1"/>
    <col min="2" max="2" width="19.7109375" customWidth="1"/>
    <col min="3" max="3" width="19" customWidth="1"/>
    <col min="4" max="4" width="23.7109375" customWidth="1"/>
    <col min="5" max="6" width="23.28515625" customWidth="1"/>
    <col min="7" max="7" width="19.5703125" customWidth="1"/>
    <col min="8" max="8" width="22.85546875" customWidth="1"/>
    <col min="9" max="9" width="20.5703125" customWidth="1"/>
    <col min="10" max="10" width="22.7109375" customWidth="1"/>
    <col min="11" max="11" width="19" customWidth="1"/>
    <col min="12" max="12" width="22.7109375" customWidth="1"/>
    <col min="13" max="13" width="20.140625" customWidth="1"/>
    <col min="14" max="14" width="22.28515625" customWidth="1"/>
    <col min="15" max="15" width="20.7109375" customWidth="1"/>
    <col min="16" max="16" width="23" customWidth="1"/>
    <col min="17" max="18" width="22.7109375" customWidth="1"/>
    <col min="19" max="19" width="20" customWidth="1"/>
    <col min="20" max="20" width="22.7109375" customWidth="1"/>
    <col min="21" max="21" width="19.42578125" customWidth="1"/>
    <col min="22" max="22" width="22.7109375" customWidth="1"/>
    <col min="23" max="25" width="20" customWidth="1"/>
  </cols>
  <sheetData>
    <row r="1" spans="1:25" ht="74.25" customHeight="1" thickBot="1" x14ac:dyDescent="0.75">
      <c r="A1" s="307" t="s">
        <v>150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</row>
    <row r="2" spans="1:25" ht="15.75" thickBot="1" x14ac:dyDescent="0.3">
      <c r="A2" s="14" t="s">
        <v>0</v>
      </c>
      <c r="B2" s="308" t="s">
        <v>152</v>
      </c>
      <c r="C2" s="309"/>
      <c r="D2" s="308" t="s">
        <v>153</v>
      </c>
      <c r="E2" s="309"/>
      <c r="F2" s="308" t="s">
        <v>154</v>
      </c>
      <c r="G2" s="309"/>
      <c r="H2" s="308" t="s">
        <v>155</v>
      </c>
      <c r="I2" s="309"/>
      <c r="J2" s="308" t="s">
        <v>156</v>
      </c>
      <c r="K2" s="309"/>
      <c r="L2" s="308" t="s">
        <v>157</v>
      </c>
      <c r="M2" s="309"/>
      <c r="N2" s="308" t="s">
        <v>158</v>
      </c>
      <c r="O2" s="309"/>
      <c r="P2" s="308" t="s">
        <v>159</v>
      </c>
      <c r="Q2" s="309"/>
      <c r="R2" s="308" t="s">
        <v>160</v>
      </c>
      <c r="S2" s="309"/>
      <c r="T2" s="310" t="s">
        <v>161</v>
      </c>
      <c r="U2" s="309"/>
      <c r="V2" s="310" t="s">
        <v>162</v>
      </c>
      <c r="W2" s="309"/>
      <c r="X2" s="310" t="s">
        <v>163</v>
      </c>
      <c r="Y2" s="309"/>
    </row>
    <row r="3" spans="1:25" x14ac:dyDescent="0.25">
      <c r="A3" s="304" t="s">
        <v>3</v>
      </c>
      <c r="B3" s="18"/>
      <c r="C3" s="19"/>
      <c r="D3" s="18"/>
      <c r="E3" s="19"/>
      <c r="F3" s="18"/>
      <c r="G3" s="19"/>
      <c r="H3" s="18"/>
      <c r="I3" s="19"/>
      <c r="J3" s="18"/>
      <c r="K3" s="19"/>
      <c r="L3" s="18"/>
      <c r="M3" s="19"/>
      <c r="N3" s="18"/>
      <c r="O3" s="19"/>
      <c r="P3" s="18"/>
      <c r="Q3" s="19"/>
      <c r="R3" s="18"/>
      <c r="S3" s="19"/>
      <c r="T3" s="18"/>
      <c r="U3" s="19"/>
      <c r="V3" s="18"/>
      <c r="W3" s="19"/>
      <c r="X3" s="18"/>
      <c r="Y3" s="19"/>
    </row>
    <row r="4" spans="1:25" x14ac:dyDescent="0.25">
      <c r="A4" s="305"/>
      <c r="B4" s="12" t="s">
        <v>147</v>
      </c>
      <c r="C4" s="20">
        <v>2</v>
      </c>
      <c r="D4" s="12" t="s">
        <v>147</v>
      </c>
      <c r="E4" s="20">
        <v>2</v>
      </c>
      <c r="F4" s="12" t="s">
        <v>147</v>
      </c>
      <c r="G4" s="20">
        <v>2</v>
      </c>
      <c r="H4" s="12" t="s">
        <v>147</v>
      </c>
      <c r="I4" s="20">
        <v>2</v>
      </c>
      <c r="J4" s="12" t="s">
        <v>147</v>
      </c>
      <c r="K4" s="20">
        <v>2</v>
      </c>
      <c r="L4" s="12" t="s">
        <v>147</v>
      </c>
      <c r="M4" s="20">
        <v>2</v>
      </c>
      <c r="N4" s="12" t="s">
        <v>147</v>
      </c>
      <c r="O4" s="20">
        <v>2</v>
      </c>
      <c r="P4" s="12" t="s">
        <v>147</v>
      </c>
      <c r="Q4" s="20">
        <v>2</v>
      </c>
      <c r="R4" s="12" t="s">
        <v>147</v>
      </c>
      <c r="S4" s="20">
        <v>2</v>
      </c>
      <c r="T4" s="12" t="s">
        <v>147</v>
      </c>
      <c r="U4" s="20">
        <v>2</v>
      </c>
      <c r="V4" s="12" t="s">
        <v>147</v>
      </c>
      <c r="W4" s="20">
        <v>2</v>
      </c>
      <c r="X4" s="12" t="s">
        <v>147</v>
      </c>
      <c r="Y4" s="20">
        <v>2</v>
      </c>
    </row>
    <row r="5" spans="1:25" x14ac:dyDescent="0.25">
      <c r="A5" s="305"/>
      <c r="B5" s="12" t="s">
        <v>148</v>
      </c>
      <c r="C5" s="20">
        <v>1000000</v>
      </c>
      <c r="D5" s="12" t="s">
        <v>148</v>
      </c>
      <c r="E5" s="20">
        <v>1000000</v>
      </c>
      <c r="F5" s="12" t="s">
        <v>148</v>
      </c>
      <c r="G5" s="20">
        <v>1000000</v>
      </c>
      <c r="H5" s="12" t="s">
        <v>148</v>
      </c>
      <c r="I5" s="20">
        <v>1000000</v>
      </c>
      <c r="J5" s="12" t="s">
        <v>148</v>
      </c>
      <c r="K5" s="20">
        <v>1000000</v>
      </c>
      <c r="L5" s="12" t="s">
        <v>148</v>
      </c>
      <c r="M5" s="20">
        <v>1000000</v>
      </c>
      <c r="N5" s="12" t="s">
        <v>148</v>
      </c>
      <c r="O5" s="20">
        <v>1000000</v>
      </c>
      <c r="P5" s="12" t="s">
        <v>148</v>
      </c>
      <c r="Q5" s="20">
        <v>1000000</v>
      </c>
      <c r="R5" s="12" t="s">
        <v>148</v>
      </c>
      <c r="S5" s="20">
        <v>1000000</v>
      </c>
      <c r="T5" s="12" t="s">
        <v>148</v>
      </c>
      <c r="U5" s="20">
        <v>1000000</v>
      </c>
      <c r="V5" s="12" t="s">
        <v>148</v>
      </c>
      <c r="W5" s="20">
        <v>1000000</v>
      </c>
      <c r="X5" s="12" t="s">
        <v>148</v>
      </c>
      <c r="Y5" s="20">
        <v>1000000</v>
      </c>
    </row>
    <row r="6" spans="1:25" x14ac:dyDescent="0.25">
      <c r="A6" s="305"/>
      <c r="B6" s="13" t="s">
        <v>149</v>
      </c>
      <c r="C6" s="21">
        <f>+C4*C5</f>
        <v>2000000</v>
      </c>
      <c r="D6" s="13" t="s">
        <v>149</v>
      </c>
      <c r="E6" s="21">
        <f>+E4*E5</f>
        <v>2000000</v>
      </c>
      <c r="F6" s="13" t="s">
        <v>149</v>
      </c>
      <c r="G6" s="21">
        <f>+G4*G5</f>
        <v>2000000</v>
      </c>
      <c r="H6" s="13" t="s">
        <v>149</v>
      </c>
      <c r="I6" s="21">
        <f>+I4*I5</f>
        <v>2000000</v>
      </c>
      <c r="J6" s="13" t="s">
        <v>149</v>
      </c>
      <c r="K6" s="21">
        <f>+K4*K5</f>
        <v>2000000</v>
      </c>
      <c r="L6" s="13" t="s">
        <v>149</v>
      </c>
      <c r="M6" s="21">
        <f>+M4*M5</f>
        <v>2000000</v>
      </c>
      <c r="N6" s="13" t="s">
        <v>149</v>
      </c>
      <c r="O6" s="21">
        <f>+O4*O5</f>
        <v>2000000</v>
      </c>
      <c r="P6" s="13" t="s">
        <v>149</v>
      </c>
      <c r="Q6" s="21">
        <f>+Q4*Q5</f>
        <v>2000000</v>
      </c>
      <c r="R6" s="13" t="s">
        <v>149</v>
      </c>
      <c r="S6" s="21">
        <f>+S4*S5</f>
        <v>2000000</v>
      </c>
      <c r="T6" s="13" t="s">
        <v>149</v>
      </c>
      <c r="U6" s="21">
        <f>+U4*U5</f>
        <v>2000000</v>
      </c>
      <c r="V6" s="13" t="s">
        <v>149</v>
      </c>
      <c r="W6" s="21">
        <f>+W4*W5</f>
        <v>2000000</v>
      </c>
      <c r="X6" s="13" t="s">
        <v>149</v>
      </c>
      <c r="Y6" s="21">
        <f>+Y4*Y5</f>
        <v>2000000</v>
      </c>
    </row>
    <row r="7" spans="1:25" x14ac:dyDescent="0.25">
      <c r="A7" s="305"/>
      <c r="B7" s="18"/>
      <c r="C7" s="22"/>
      <c r="D7" s="18"/>
      <c r="E7" s="22"/>
      <c r="F7" s="18"/>
      <c r="G7" s="22"/>
      <c r="H7" s="18"/>
      <c r="I7" s="22"/>
      <c r="J7" s="18"/>
      <c r="K7" s="22"/>
      <c r="L7" s="18"/>
      <c r="M7" s="22"/>
      <c r="N7" s="18"/>
      <c r="O7" s="22"/>
      <c r="P7" s="18"/>
      <c r="Q7" s="22"/>
      <c r="R7" s="18"/>
      <c r="S7" s="22"/>
      <c r="T7" s="18"/>
      <c r="U7" s="22"/>
      <c r="V7" s="18"/>
      <c r="W7" s="22"/>
      <c r="X7" s="18"/>
      <c r="Y7" s="22"/>
    </row>
    <row r="8" spans="1:25" ht="15.75" thickBot="1" x14ac:dyDescent="0.3">
      <c r="A8" s="306"/>
      <c r="B8" s="13" t="s">
        <v>2</v>
      </c>
      <c r="C8" s="23">
        <f>SUM(C6+C7)</f>
        <v>2000000</v>
      </c>
      <c r="D8" s="13" t="s">
        <v>2</v>
      </c>
      <c r="E8" s="23">
        <f>SUM(E6+E7)</f>
        <v>2000000</v>
      </c>
      <c r="F8" s="13" t="s">
        <v>2</v>
      </c>
      <c r="G8" s="23">
        <f>SUM(G6+G7)</f>
        <v>2000000</v>
      </c>
      <c r="H8" s="13" t="s">
        <v>2</v>
      </c>
      <c r="I8" s="23">
        <f>SUM(I6+I7)</f>
        <v>2000000</v>
      </c>
      <c r="J8" s="13" t="s">
        <v>2</v>
      </c>
      <c r="K8" s="23">
        <f>SUM(K6+K7)</f>
        <v>2000000</v>
      </c>
      <c r="L8" s="13" t="s">
        <v>2</v>
      </c>
      <c r="M8" s="23">
        <f>SUM(M6+M7)</f>
        <v>2000000</v>
      </c>
      <c r="N8" s="13" t="s">
        <v>2</v>
      </c>
      <c r="O8" s="23">
        <f>SUM(O6+O7)</f>
        <v>2000000</v>
      </c>
      <c r="P8" s="13" t="s">
        <v>2</v>
      </c>
      <c r="Q8" s="23">
        <f>SUM(Q6+Q7)</f>
        <v>2000000</v>
      </c>
      <c r="R8" s="13" t="s">
        <v>2</v>
      </c>
      <c r="S8" s="23">
        <f>SUM(S6+S7)</f>
        <v>2000000</v>
      </c>
      <c r="T8" s="13" t="s">
        <v>2</v>
      </c>
      <c r="U8" s="23">
        <f>SUM(U6+U7)</f>
        <v>2000000</v>
      </c>
      <c r="V8" s="13" t="s">
        <v>2</v>
      </c>
      <c r="W8" s="23">
        <f>SUM(W6+W7)</f>
        <v>2000000</v>
      </c>
      <c r="X8" s="13" t="s">
        <v>2</v>
      </c>
      <c r="Y8" s="23">
        <f>SUM(Y6+Y7)</f>
        <v>2000000</v>
      </c>
    </row>
    <row r="9" spans="1:25" ht="15.75" thickBot="1" x14ac:dyDescent="0.3">
      <c r="A9" s="24"/>
      <c r="B9" s="18"/>
      <c r="C9" s="25"/>
      <c r="D9" s="18"/>
      <c r="E9" s="25"/>
      <c r="F9" s="18"/>
      <c r="G9" s="25"/>
      <c r="H9" s="18"/>
      <c r="I9" s="25"/>
      <c r="J9" s="18"/>
      <c r="K9" s="25"/>
      <c r="L9" s="18"/>
      <c r="M9" s="25"/>
      <c r="N9" s="18"/>
      <c r="O9" s="25"/>
      <c r="P9" s="18"/>
      <c r="Q9" s="25"/>
      <c r="R9" s="18"/>
      <c r="S9" s="25"/>
      <c r="T9" s="18"/>
      <c r="U9" s="25"/>
      <c r="V9" s="18"/>
      <c r="W9" s="25"/>
      <c r="X9" s="18"/>
      <c r="Y9" s="25"/>
    </row>
    <row r="10" spans="1:25" x14ac:dyDescent="0.25">
      <c r="A10" s="304" t="s">
        <v>4</v>
      </c>
      <c r="B10" s="12" t="s">
        <v>147</v>
      </c>
      <c r="C10" s="20">
        <v>2</v>
      </c>
      <c r="D10" s="12" t="s">
        <v>147</v>
      </c>
      <c r="E10" s="20">
        <v>2</v>
      </c>
      <c r="F10" s="12" t="s">
        <v>147</v>
      </c>
      <c r="G10" s="20">
        <v>2</v>
      </c>
      <c r="H10" s="12" t="s">
        <v>147</v>
      </c>
      <c r="I10" s="20">
        <v>2</v>
      </c>
      <c r="J10" s="12" t="s">
        <v>147</v>
      </c>
      <c r="K10" s="20">
        <v>2</v>
      </c>
      <c r="L10" s="12" t="s">
        <v>147</v>
      </c>
      <c r="M10" s="20">
        <v>2</v>
      </c>
      <c r="N10" s="12" t="s">
        <v>147</v>
      </c>
      <c r="O10" s="20">
        <v>2</v>
      </c>
      <c r="P10" s="12" t="s">
        <v>147</v>
      </c>
      <c r="Q10" s="20">
        <v>2</v>
      </c>
      <c r="R10" s="12" t="s">
        <v>147</v>
      </c>
      <c r="S10" s="20">
        <v>2</v>
      </c>
      <c r="T10" s="12" t="s">
        <v>147</v>
      </c>
      <c r="U10" s="20">
        <v>2</v>
      </c>
      <c r="V10" s="12" t="s">
        <v>147</v>
      </c>
      <c r="W10" s="20">
        <v>2</v>
      </c>
      <c r="X10" s="12" t="s">
        <v>147</v>
      </c>
      <c r="Y10" s="20">
        <v>2</v>
      </c>
    </row>
    <row r="11" spans="1:25" x14ac:dyDescent="0.25">
      <c r="A11" s="305"/>
      <c r="B11" s="12" t="s">
        <v>148</v>
      </c>
      <c r="C11" s="20">
        <v>1000000</v>
      </c>
      <c r="D11" s="12" t="s">
        <v>148</v>
      </c>
      <c r="E11" s="20">
        <v>1000000</v>
      </c>
      <c r="F11" s="12" t="s">
        <v>148</v>
      </c>
      <c r="G11" s="20">
        <v>1000000</v>
      </c>
      <c r="H11" s="12" t="s">
        <v>148</v>
      </c>
      <c r="I11" s="20">
        <v>1000000</v>
      </c>
      <c r="J11" s="12" t="s">
        <v>148</v>
      </c>
      <c r="K11" s="20">
        <v>1000000</v>
      </c>
      <c r="L11" s="12" t="s">
        <v>148</v>
      </c>
      <c r="M11" s="20">
        <v>1000000</v>
      </c>
      <c r="N11" s="12" t="s">
        <v>148</v>
      </c>
      <c r="O11" s="20">
        <v>1000000</v>
      </c>
      <c r="P11" s="12" t="s">
        <v>148</v>
      </c>
      <c r="Q11" s="20">
        <v>1000000</v>
      </c>
      <c r="R11" s="12" t="s">
        <v>148</v>
      </c>
      <c r="S11" s="20">
        <v>1000000</v>
      </c>
      <c r="T11" s="12" t="s">
        <v>148</v>
      </c>
      <c r="U11" s="20">
        <v>1000000</v>
      </c>
      <c r="V11" s="12" t="s">
        <v>148</v>
      </c>
      <c r="W11" s="20">
        <v>1000000</v>
      </c>
      <c r="X11" s="12" t="s">
        <v>148</v>
      </c>
      <c r="Y11" s="20">
        <v>1000000</v>
      </c>
    </row>
    <row r="12" spans="1:25" x14ac:dyDescent="0.25">
      <c r="A12" s="305"/>
      <c r="B12" s="13" t="s">
        <v>149</v>
      </c>
      <c r="C12" s="21">
        <f>+C10*C11</f>
        <v>2000000</v>
      </c>
      <c r="D12" s="13" t="s">
        <v>149</v>
      </c>
      <c r="E12" s="21">
        <f>+E10*E11</f>
        <v>2000000</v>
      </c>
      <c r="F12" s="13" t="s">
        <v>149</v>
      </c>
      <c r="G12" s="21">
        <f>+G10*G11</f>
        <v>2000000</v>
      </c>
      <c r="H12" s="13" t="s">
        <v>149</v>
      </c>
      <c r="I12" s="21">
        <f>+I10*I11</f>
        <v>2000000</v>
      </c>
      <c r="J12" s="13" t="s">
        <v>149</v>
      </c>
      <c r="K12" s="21">
        <f>+K10*K11</f>
        <v>2000000</v>
      </c>
      <c r="L12" s="13" t="s">
        <v>149</v>
      </c>
      <c r="M12" s="21">
        <f>+M10*M11</f>
        <v>2000000</v>
      </c>
      <c r="N12" s="13" t="s">
        <v>149</v>
      </c>
      <c r="O12" s="21">
        <f>+O10*O11</f>
        <v>2000000</v>
      </c>
      <c r="P12" s="13" t="s">
        <v>149</v>
      </c>
      <c r="Q12" s="21">
        <f>+Q10*Q11</f>
        <v>2000000</v>
      </c>
      <c r="R12" s="13" t="s">
        <v>149</v>
      </c>
      <c r="S12" s="21">
        <f>+S10*S11</f>
        <v>2000000</v>
      </c>
      <c r="T12" s="13" t="s">
        <v>149</v>
      </c>
      <c r="U12" s="21">
        <f>+U10*U11</f>
        <v>2000000</v>
      </c>
      <c r="V12" s="13" t="s">
        <v>149</v>
      </c>
      <c r="W12" s="21">
        <f>+W10*W11</f>
        <v>2000000</v>
      </c>
      <c r="X12" s="13" t="s">
        <v>149</v>
      </c>
      <c r="Y12" s="21">
        <f>+Y10*Y11</f>
        <v>2000000</v>
      </c>
    </row>
    <row r="13" spans="1:25" x14ac:dyDescent="0.25">
      <c r="A13" s="305"/>
      <c r="B13" s="18"/>
      <c r="C13" s="22"/>
      <c r="D13" s="18"/>
      <c r="E13" s="22"/>
      <c r="F13" s="18"/>
      <c r="G13" s="22"/>
      <c r="H13" s="18"/>
      <c r="I13" s="22"/>
      <c r="J13" s="18"/>
      <c r="K13" s="22"/>
      <c r="L13" s="18"/>
      <c r="M13" s="22"/>
      <c r="N13" s="18"/>
      <c r="O13" s="22"/>
      <c r="P13" s="18"/>
      <c r="Q13" s="22"/>
      <c r="R13" s="18"/>
      <c r="S13" s="22"/>
      <c r="T13" s="18"/>
      <c r="U13" s="22"/>
      <c r="V13" s="18"/>
      <c r="W13" s="22"/>
      <c r="X13" s="18"/>
      <c r="Y13" s="22"/>
    </row>
    <row r="14" spans="1:25" ht="15.75" thickBot="1" x14ac:dyDescent="0.3">
      <c r="A14" s="306"/>
      <c r="B14" s="13" t="s">
        <v>2</v>
      </c>
      <c r="C14" s="23">
        <f>SUM(C12+C13)</f>
        <v>2000000</v>
      </c>
      <c r="D14" s="13" t="s">
        <v>2</v>
      </c>
      <c r="E14" s="23">
        <f>SUM(E12+E13)</f>
        <v>2000000</v>
      </c>
      <c r="F14" s="13" t="s">
        <v>2</v>
      </c>
      <c r="G14" s="23">
        <f>SUM(G12+G13)</f>
        <v>2000000</v>
      </c>
      <c r="H14" s="13" t="s">
        <v>2</v>
      </c>
      <c r="I14" s="23">
        <f>SUM(I12+I13)</f>
        <v>2000000</v>
      </c>
      <c r="J14" s="13" t="s">
        <v>2</v>
      </c>
      <c r="K14" s="23">
        <f>SUM(K12+K13)</f>
        <v>2000000</v>
      </c>
      <c r="L14" s="13" t="s">
        <v>2</v>
      </c>
      <c r="M14" s="23">
        <f>SUM(M12+M13)</f>
        <v>2000000</v>
      </c>
      <c r="N14" s="13" t="s">
        <v>2</v>
      </c>
      <c r="O14" s="23">
        <f>SUM(O12+O13)</f>
        <v>2000000</v>
      </c>
      <c r="P14" s="13" t="s">
        <v>2</v>
      </c>
      <c r="Q14" s="23">
        <f>SUM(Q12+Q13)</f>
        <v>2000000</v>
      </c>
      <c r="R14" s="13" t="s">
        <v>2</v>
      </c>
      <c r="S14" s="23">
        <f>SUM(S12+S13)</f>
        <v>2000000</v>
      </c>
      <c r="T14" s="13" t="s">
        <v>2</v>
      </c>
      <c r="U14" s="23">
        <f>SUM(U12+U13)</f>
        <v>2000000</v>
      </c>
      <c r="V14" s="13" t="s">
        <v>2</v>
      </c>
      <c r="W14" s="23">
        <f>SUM(W12+W13)</f>
        <v>2000000</v>
      </c>
      <c r="X14" s="13" t="s">
        <v>2</v>
      </c>
      <c r="Y14" s="23">
        <f>SUM(Y12+Y13)</f>
        <v>2000000</v>
      </c>
    </row>
    <row r="15" spans="1:25" ht="15.75" thickBot="1" x14ac:dyDescent="0.3">
      <c r="A15" s="24"/>
      <c r="B15" s="18"/>
      <c r="C15" s="19"/>
      <c r="D15" s="18"/>
      <c r="E15" s="19"/>
      <c r="F15" s="18"/>
      <c r="G15" s="19"/>
      <c r="H15" s="18"/>
      <c r="I15" s="19"/>
      <c r="J15" s="18"/>
      <c r="K15" s="19"/>
      <c r="L15" s="18"/>
      <c r="M15" s="19"/>
      <c r="N15" s="18"/>
      <c r="O15" s="19"/>
      <c r="P15" s="18"/>
      <c r="Q15" s="19"/>
      <c r="R15" s="18"/>
      <c r="S15" s="19"/>
      <c r="T15" s="18"/>
      <c r="U15" s="19"/>
      <c r="V15" s="18"/>
      <c r="W15" s="19"/>
      <c r="X15" s="18"/>
      <c r="Y15" s="19"/>
    </row>
    <row r="16" spans="1:25" x14ac:dyDescent="0.25">
      <c r="A16" s="304" t="s">
        <v>5</v>
      </c>
      <c r="B16" s="12" t="s">
        <v>147</v>
      </c>
      <c r="C16" s="20">
        <v>2</v>
      </c>
      <c r="D16" s="12" t="s">
        <v>147</v>
      </c>
      <c r="E16" s="20">
        <v>2</v>
      </c>
      <c r="F16" s="12" t="s">
        <v>147</v>
      </c>
      <c r="G16" s="20">
        <v>2</v>
      </c>
      <c r="H16" s="12" t="s">
        <v>147</v>
      </c>
      <c r="I16" s="20">
        <v>2</v>
      </c>
      <c r="J16" s="12" t="s">
        <v>147</v>
      </c>
      <c r="K16" s="20">
        <v>2</v>
      </c>
      <c r="L16" s="12" t="s">
        <v>147</v>
      </c>
      <c r="M16" s="20">
        <v>2</v>
      </c>
      <c r="N16" s="12" t="s">
        <v>147</v>
      </c>
      <c r="O16" s="20">
        <v>2</v>
      </c>
      <c r="P16" s="12" t="s">
        <v>147</v>
      </c>
      <c r="Q16" s="20">
        <v>2</v>
      </c>
      <c r="R16" s="12" t="s">
        <v>147</v>
      </c>
      <c r="S16" s="20">
        <v>2</v>
      </c>
      <c r="T16" s="12" t="s">
        <v>147</v>
      </c>
      <c r="U16" s="20">
        <v>2</v>
      </c>
      <c r="V16" s="12" t="s">
        <v>147</v>
      </c>
      <c r="W16" s="20">
        <v>2</v>
      </c>
      <c r="X16" s="12" t="s">
        <v>147</v>
      </c>
      <c r="Y16" s="20">
        <v>2</v>
      </c>
    </row>
    <row r="17" spans="1:25" x14ac:dyDescent="0.25">
      <c r="A17" s="305"/>
      <c r="B17" s="12" t="s">
        <v>148</v>
      </c>
      <c r="C17" s="20">
        <v>1000000</v>
      </c>
      <c r="D17" s="12" t="s">
        <v>148</v>
      </c>
      <c r="E17" s="20">
        <v>1000000</v>
      </c>
      <c r="F17" s="12" t="s">
        <v>148</v>
      </c>
      <c r="G17" s="20">
        <v>1000000</v>
      </c>
      <c r="H17" s="12" t="s">
        <v>148</v>
      </c>
      <c r="I17" s="20">
        <v>1000000</v>
      </c>
      <c r="J17" s="12" t="s">
        <v>148</v>
      </c>
      <c r="K17" s="20">
        <v>1000000</v>
      </c>
      <c r="L17" s="12" t="s">
        <v>148</v>
      </c>
      <c r="M17" s="20">
        <v>1000000</v>
      </c>
      <c r="N17" s="12" t="s">
        <v>148</v>
      </c>
      <c r="O17" s="20">
        <v>1000000</v>
      </c>
      <c r="P17" s="12" t="s">
        <v>148</v>
      </c>
      <c r="Q17" s="20">
        <v>1000000</v>
      </c>
      <c r="R17" s="12" t="s">
        <v>148</v>
      </c>
      <c r="S17" s="20">
        <v>1000000</v>
      </c>
      <c r="T17" s="12" t="s">
        <v>148</v>
      </c>
      <c r="U17" s="20">
        <v>1000000</v>
      </c>
      <c r="V17" s="12" t="s">
        <v>148</v>
      </c>
      <c r="W17" s="20">
        <v>1000000</v>
      </c>
      <c r="X17" s="12" t="s">
        <v>148</v>
      </c>
      <c r="Y17" s="20">
        <v>1000000</v>
      </c>
    </row>
    <row r="18" spans="1:25" x14ac:dyDescent="0.25">
      <c r="A18" s="305"/>
      <c r="B18" s="13" t="s">
        <v>149</v>
      </c>
      <c r="C18" s="21">
        <f>+C16*C17</f>
        <v>2000000</v>
      </c>
      <c r="D18" s="13" t="s">
        <v>149</v>
      </c>
      <c r="E18" s="21">
        <f>+E16*E17</f>
        <v>2000000</v>
      </c>
      <c r="F18" s="13" t="s">
        <v>149</v>
      </c>
      <c r="G18" s="21">
        <f>+G16*G17</f>
        <v>2000000</v>
      </c>
      <c r="H18" s="13" t="s">
        <v>149</v>
      </c>
      <c r="I18" s="21">
        <f>+I16*I17</f>
        <v>2000000</v>
      </c>
      <c r="J18" s="13" t="s">
        <v>149</v>
      </c>
      <c r="K18" s="21">
        <f>+K16*K17</f>
        <v>2000000</v>
      </c>
      <c r="L18" s="13" t="s">
        <v>149</v>
      </c>
      <c r="M18" s="21">
        <f>+M16*M17</f>
        <v>2000000</v>
      </c>
      <c r="N18" s="13" t="s">
        <v>149</v>
      </c>
      <c r="O18" s="21">
        <f>+O16*O17</f>
        <v>2000000</v>
      </c>
      <c r="P18" s="13" t="s">
        <v>149</v>
      </c>
      <c r="Q18" s="21">
        <f>+Q16*Q17</f>
        <v>2000000</v>
      </c>
      <c r="R18" s="13" t="s">
        <v>149</v>
      </c>
      <c r="S18" s="21">
        <f>+S16*S17</f>
        <v>2000000</v>
      </c>
      <c r="T18" s="13" t="s">
        <v>149</v>
      </c>
      <c r="U18" s="21">
        <f>+U16*U17</f>
        <v>2000000</v>
      </c>
      <c r="V18" s="13" t="s">
        <v>149</v>
      </c>
      <c r="W18" s="21">
        <f>+W16*W17</f>
        <v>2000000</v>
      </c>
      <c r="X18" s="13" t="s">
        <v>149</v>
      </c>
      <c r="Y18" s="21">
        <f>+Y16*Y17</f>
        <v>2000000</v>
      </c>
    </row>
    <row r="19" spans="1:25" x14ac:dyDescent="0.25">
      <c r="A19" s="305"/>
      <c r="B19" s="18"/>
      <c r="C19" s="22"/>
      <c r="D19" s="18"/>
      <c r="E19" s="22"/>
      <c r="F19" s="18"/>
      <c r="G19" s="22"/>
      <c r="H19" s="18"/>
      <c r="I19" s="22"/>
      <c r="J19" s="18"/>
      <c r="K19" s="22"/>
      <c r="L19" s="18"/>
      <c r="M19" s="22"/>
      <c r="N19" s="18"/>
      <c r="O19" s="22"/>
      <c r="P19" s="18"/>
      <c r="Q19" s="22"/>
      <c r="R19" s="18"/>
      <c r="S19" s="22"/>
      <c r="T19" s="18"/>
      <c r="U19" s="22"/>
      <c r="V19" s="18"/>
      <c r="W19" s="22"/>
      <c r="X19" s="18"/>
      <c r="Y19" s="22"/>
    </row>
    <row r="20" spans="1:25" ht="15.75" thickBot="1" x14ac:dyDescent="0.3">
      <c r="A20" s="306"/>
      <c r="B20" s="13" t="s">
        <v>2</v>
      </c>
      <c r="C20" s="23">
        <f>SUM(C18+C19)</f>
        <v>2000000</v>
      </c>
      <c r="D20" s="13" t="s">
        <v>2</v>
      </c>
      <c r="E20" s="23">
        <f>SUM(E18+E19)</f>
        <v>2000000</v>
      </c>
      <c r="F20" s="13" t="s">
        <v>2</v>
      </c>
      <c r="G20" s="23">
        <f>SUM(G18+G19)</f>
        <v>2000000</v>
      </c>
      <c r="H20" s="13" t="s">
        <v>2</v>
      </c>
      <c r="I20" s="23">
        <f>SUM(I18+I19)</f>
        <v>2000000</v>
      </c>
      <c r="J20" s="13" t="s">
        <v>2</v>
      </c>
      <c r="K20" s="23">
        <f>SUM(K18+K19)</f>
        <v>2000000</v>
      </c>
      <c r="L20" s="13" t="s">
        <v>2</v>
      </c>
      <c r="M20" s="23">
        <f>SUM(M18+M19)</f>
        <v>2000000</v>
      </c>
      <c r="N20" s="13" t="s">
        <v>2</v>
      </c>
      <c r="O20" s="23">
        <f>SUM(O18+O19)</f>
        <v>2000000</v>
      </c>
      <c r="P20" s="13" t="s">
        <v>2</v>
      </c>
      <c r="Q20" s="23">
        <f>SUM(Q18+Q19)</f>
        <v>2000000</v>
      </c>
      <c r="R20" s="13" t="s">
        <v>2</v>
      </c>
      <c r="S20" s="23">
        <f>SUM(S18+S19)</f>
        <v>2000000</v>
      </c>
      <c r="T20" s="13" t="s">
        <v>2</v>
      </c>
      <c r="U20" s="23">
        <f>SUM(U18+U19)</f>
        <v>2000000</v>
      </c>
      <c r="V20" s="13" t="s">
        <v>2</v>
      </c>
      <c r="W20" s="23">
        <f>SUM(W18+W19)</f>
        <v>2000000</v>
      </c>
      <c r="X20" s="13" t="s">
        <v>2</v>
      </c>
      <c r="Y20" s="23">
        <f>SUM(Y18+Y19)</f>
        <v>2000000</v>
      </c>
    </row>
    <row r="21" spans="1:25" ht="15.75" thickBot="1" x14ac:dyDescent="0.3">
      <c r="A21" s="24"/>
      <c r="B21" s="18"/>
      <c r="C21" s="19"/>
      <c r="D21" s="18"/>
      <c r="E21" s="19"/>
      <c r="F21" s="18"/>
      <c r="G21" s="19"/>
      <c r="H21" s="18"/>
      <c r="I21" s="19"/>
      <c r="J21" s="18"/>
      <c r="K21" s="19"/>
      <c r="L21" s="18"/>
      <c r="M21" s="19"/>
      <c r="N21" s="18"/>
      <c r="O21" s="19"/>
      <c r="P21" s="18"/>
      <c r="Q21" s="19"/>
      <c r="R21" s="18"/>
      <c r="S21" s="19"/>
      <c r="T21" s="18"/>
      <c r="U21" s="19"/>
      <c r="V21" s="18"/>
      <c r="W21" s="19"/>
      <c r="X21" s="18"/>
      <c r="Y21" s="19"/>
    </row>
    <row r="22" spans="1:25" x14ac:dyDescent="0.25">
      <c r="A22" s="304" t="s">
        <v>6</v>
      </c>
      <c r="B22" s="12" t="s">
        <v>147</v>
      </c>
      <c r="C22" s="20">
        <v>2</v>
      </c>
      <c r="D22" s="12" t="s">
        <v>147</v>
      </c>
      <c r="E22" s="20">
        <v>2</v>
      </c>
      <c r="F22" s="12" t="s">
        <v>147</v>
      </c>
      <c r="G22" s="20">
        <v>2</v>
      </c>
      <c r="H22" s="12" t="s">
        <v>147</v>
      </c>
      <c r="I22" s="20">
        <v>2</v>
      </c>
      <c r="J22" s="12" t="s">
        <v>147</v>
      </c>
      <c r="K22" s="20">
        <v>2</v>
      </c>
      <c r="L22" s="12" t="s">
        <v>147</v>
      </c>
      <c r="M22" s="20">
        <v>2</v>
      </c>
      <c r="N22" s="12" t="s">
        <v>147</v>
      </c>
      <c r="O22" s="20">
        <v>2</v>
      </c>
      <c r="P22" s="12" t="s">
        <v>147</v>
      </c>
      <c r="Q22" s="20">
        <v>2</v>
      </c>
      <c r="R22" s="12" t="s">
        <v>147</v>
      </c>
      <c r="S22" s="20">
        <v>2</v>
      </c>
      <c r="T22" s="12" t="s">
        <v>147</v>
      </c>
      <c r="U22" s="20">
        <v>2</v>
      </c>
      <c r="V22" s="12" t="s">
        <v>147</v>
      </c>
      <c r="W22" s="20">
        <v>2</v>
      </c>
      <c r="X22" s="12" t="s">
        <v>147</v>
      </c>
      <c r="Y22" s="20">
        <v>2</v>
      </c>
    </row>
    <row r="23" spans="1:25" x14ac:dyDescent="0.25">
      <c r="A23" s="305"/>
      <c r="B23" s="12" t="s">
        <v>148</v>
      </c>
      <c r="C23" s="20">
        <v>1000000</v>
      </c>
      <c r="D23" s="12" t="s">
        <v>148</v>
      </c>
      <c r="E23" s="20">
        <v>1000000</v>
      </c>
      <c r="F23" s="12" t="s">
        <v>148</v>
      </c>
      <c r="G23" s="20">
        <v>1000000</v>
      </c>
      <c r="H23" s="12" t="s">
        <v>148</v>
      </c>
      <c r="I23" s="20">
        <v>1000000</v>
      </c>
      <c r="J23" s="12" t="s">
        <v>148</v>
      </c>
      <c r="K23" s="20">
        <v>1000000</v>
      </c>
      <c r="L23" s="12" t="s">
        <v>148</v>
      </c>
      <c r="M23" s="20">
        <v>1000000</v>
      </c>
      <c r="N23" s="12" t="s">
        <v>148</v>
      </c>
      <c r="O23" s="20">
        <v>1000000</v>
      </c>
      <c r="P23" s="12" t="s">
        <v>148</v>
      </c>
      <c r="Q23" s="20">
        <v>1000000</v>
      </c>
      <c r="R23" s="12" t="s">
        <v>148</v>
      </c>
      <c r="S23" s="20">
        <v>1000000</v>
      </c>
      <c r="T23" s="12" t="s">
        <v>148</v>
      </c>
      <c r="U23" s="20">
        <v>1000000</v>
      </c>
      <c r="V23" s="12" t="s">
        <v>148</v>
      </c>
      <c r="W23" s="20">
        <v>1000000</v>
      </c>
      <c r="X23" s="12" t="s">
        <v>148</v>
      </c>
      <c r="Y23" s="20">
        <v>1000000</v>
      </c>
    </row>
    <row r="24" spans="1:25" x14ac:dyDescent="0.25">
      <c r="A24" s="305"/>
      <c r="B24" s="13" t="s">
        <v>149</v>
      </c>
      <c r="C24" s="21">
        <f>+C22*C23</f>
        <v>2000000</v>
      </c>
      <c r="D24" s="13" t="s">
        <v>149</v>
      </c>
      <c r="E24" s="21">
        <f>+E22*E23</f>
        <v>2000000</v>
      </c>
      <c r="F24" s="13" t="s">
        <v>149</v>
      </c>
      <c r="G24" s="21">
        <f>+G22*G23</f>
        <v>2000000</v>
      </c>
      <c r="H24" s="13" t="s">
        <v>149</v>
      </c>
      <c r="I24" s="21">
        <f>+I22*I23</f>
        <v>2000000</v>
      </c>
      <c r="J24" s="13" t="s">
        <v>149</v>
      </c>
      <c r="K24" s="21">
        <f>+K22*K23</f>
        <v>2000000</v>
      </c>
      <c r="L24" s="13" t="s">
        <v>149</v>
      </c>
      <c r="M24" s="21">
        <f>+M22*M23</f>
        <v>2000000</v>
      </c>
      <c r="N24" s="13" t="s">
        <v>149</v>
      </c>
      <c r="O24" s="21">
        <f>+O22*O23</f>
        <v>2000000</v>
      </c>
      <c r="P24" s="13" t="s">
        <v>149</v>
      </c>
      <c r="Q24" s="21">
        <f>+Q22*Q23</f>
        <v>2000000</v>
      </c>
      <c r="R24" s="13" t="s">
        <v>149</v>
      </c>
      <c r="S24" s="21">
        <f>+S22*S23</f>
        <v>2000000</v>
      </c>
      <c r="T24" s="13" t="s">
        <v>149</v>
      </c>
      <c r="U24" s="21">
        <f>+U22*U23</f>
        <v>2000000</v>
      </c>
      <c r="V24" s="13" t="s">
        <v>149</v>
      </c>
      <c r="W24" s="21">
        <f>+W22*W23</f>
        <v>2000000</v>
      </c>
      <c r="X24" s="13" t="s">
        <v>149</v>
      </c>
      <c r="Y24" s="21">
        <f>+Y22*Y23</f>
        <v>2000000</v>
      </c>
    </row>
    <row r="25" spans="1:25" x14ac:dyDescent="0.25">
      <c r="A25" s="305"/>
      <c r="B25" s="18"/>
      <c r="C25" s="22"/>
      <c r="D25" s="18"/>
      <c r="E25" s="22"/>
      <c r="F25" s="18"/>
      <c r="G25" s="22"/>
      <c r="H25" s="18"/>
      <c r="I25" s="22"/>
      <c r="J25" s="18"/>
      <c r="K25" s="22"/>
      <c r="L25" s="18"/>
      <c r="M25" s="22"/>
      <c r="N25" s="18"/>
      <c r="O25" s="22"/>
      <c r="P25" s="18"/>
      <c r="Q25" s="22"/>
      <c r="R25" s="18"/>
      <c r="S25" s="22"/>
      <c r="T25" s="18"/>
      <c r="U25" s="22"/>
      <c r="V25" s="18"/>
      <c r="W25" s="22"/>
      <c r="X25" s="18"/>
      <c r="Y25" s="22"/>
    </row>
    <row r="26" spans="1:25" ht="15.75" thickBot="1" x14ac:dyDescent="0.3">
      <c r="A26" s="306"/>
      <c r="B26" s="13" t="s">
        <v>2</v>
      </c>
      <c r="C26" s="23">
        <f>SUM(C24+C25)</f>
        <v>2000000</v>
      </c>
      <c r="D26" s="13" t="s">
        <v>2</v>
      </c>
      <c r="E26" s="23">
        <f>SUM(E24+E25)</f>
        <v>2000000</v>
      </c>
      <c r="F26" s="13" t="s">
        <v>2</v>
      </c>
      <c r="G26" s="23">
        <f>SUM(G24+G25)</f>
        <v>2000000</v>
      </c>
      <c r="H26" s="13" t="s">
        <v>2</v>
      </c>
      <c r="I26" s="23">
        <f>SUM(I24+I25)</f>
        <v>2000000</v>
      </c>
      <c r="J26" s="13" t="s">
        <v>2</v>
      </c>
      <c r="K26" s="23">
        <f>SUM(K24+K25)</f>
        <v>2000000</v>
      </c>
      <c r="L26" s="13" t="s">
        <v>2</v>
      </c>
      <c r="M26" s="23">
        <f>SUM(M24+M25)</f>
        <v>2000000</v>
      </c>
      <c r="N26" s="13" t="s">
        <v>2</v>
      </c>
      <c r="O26" s="23">
        <f>SUM(O24+O25)</f>
        <v>2000000</v>
      </c>
      <c r="P26" s="13" t="s">
        <v>2</v>
      </c>
      <c r="Q26" s="23">
        <f>SUM(Q24+Q25)</f>
        <v>2000000</v>
      </c>
      <c r="R26" s="13" t="s">
        <v>2</v>
      </c>
      <c r="S26" s="23">
        <f>SUM(S24+S25)</f>
        <v>2000000</v>
      </c>
      <c r="T26" s="13" t="s">
        <v>2</v>
      </c>
      <c r="U26" s="23">
        <f>SUM(U24+U25)</f>
        <v>2000000</v>
      </c>
      <c r="V26" s="13" t="s">
        <v>2</v>
      </c>
      <c r="W26" s="23">
        <f>SUM(W24+W25)</f>
        <v>2000000</v>
      </c>
      <c r="X26" s="13" t="s">
        <v>2</v>
      </c>
      <c r="Y26" s="23">
        <f>SUM(Y24+Y25)</f>
        <v>2000000</v>
      </c>
    </row>
    <row r="27" spans="1:25" ht="15.75" thickBot="1" x14ac:dyDescent="0.3">
      <c r="A27" s="24"/>
      <c r="B27" s="18"/>
      <c r="C27" s="19"/>
      <c r="D27" s="18"/>
      <c r="E27" s="19"/>
      <c r="F27" s="18"/>
      <c r="G27" s="19"/>
      <c r="H27" s="18"/>
      <c r="I27" s="19"/>
      <c r="J27" s="18"/>
      <c r="K27" s="19"/>
      <c r="L27" s="18"/>
      <c r="M27" s="19"/>
      <c r="N27" s="18"/>
      <c r="O27" s="19"/>
      <c r="P27" s="18"/>
      <c r="Q27" s="19"/>
      <c r="R27" s="18"/>
      <c r="S27" s="19"/>
      <c r="T27" s="18"/>
      <c r="U27" s="19"/>
      <c r="V27" s="18"/>
      <c r="W27" s="19"/>
      <c r="X27" s="18"/>
      <c r="Y27" s="19"/>
    </row>
    <row r="28" spans="1:25" x14ac:dyDescent="0.25">
      <c r="A28" s="304" t="s">
        <v>7</v>
      </c>
      <c r="B28" s="12" t="s">
        <v>147</v>
      </c>
      <c r="C28" s="20">
        <v>2</v>
      </c>
      <c r="D28" s="12" t="s">
        <v>147</v>
      </c>
      <c r="E28" s="20">
        <v>2</v>
      </c>
      <c r="F28" s="12" t="s">
        <v>147</v>
      </c>
      <c r="G28" s="20">
        <v>2</v>
      </c>
      <c r="H28" s="12" t="s">
        <v>147</v>
      </c>
      <c r="I28" s="20">
        <v>2</v>
      </c>
      <c r="J28" s="12" t="s">
        <v>147</v>
      </c>
      <c r="K28" s="20">
        <v>2</v>
      </c>
      <c r="L28" s="12" t="s">
        <v>147</v>
      </c>
      <c r="M28" s="20">
        <v>2</v>
      </c>
      <c r="N28" s="12" t="s">
        <v>147</v>
      </c>
      <c r="O28" s="20">
        <v>2</v>
      </c>
      <c r="P28" s="12" t="s">
        <v>147</v>
      </c>
      <c r="Q28" s="20">
        <v>2</v>
      </c>
      <c r="R28" s="12" t="s">
        <v>147</v>
      </c>
      <c r="S28" s="20">
        <v>2</v>
      </c>
      <c r="T28" s="12" t="s">
        <v>147</v>
      </c>
      <c r="U28" s="20">
        <v>2</v>
      </c>
      <c r="V28" s="12" t="s">
        <v>147</v>
      </c>
      <c r="W28" s="20">
        <v>2</v>
      </c>
      <c r="X28" s="12" t="s">
        <v>147</v>
      </c>
      <c r="Y28" s="20">
        <v>2</v>
      </c>
    </row>
    <row r="29" spans="1:25" x14ac:dyDescent="0.25">
      <c r="A29" s="305"/>
      <c r="B29" s="12" t="s">
        <v>148</v>
      </c>
      <c r="C29" s="20">
        <v>1000000</v>
      </c>
      <c r="D29" s="12" t="s">
        <v>148</v>
      </c>
      <c r="E29" s="20">
        <v>1000000</v>
      </c>
      <c r="F29" s="12" t="s">
        <v>148</v>
      </c>
      <c r="G29" s="20">
        <v>1000000</v>
      </c>
      <c r="H29" s="12" t="s">
        <v>148</v>
      </c>
      <c r="I29" s="20">
        <v>1000000</v>
      </c>
      <c r="J29" s="12" t="s">
        <v>148</v>
      </c>
      <c r="K29" s="20">
        <v>1000000</v>
      </c>
      <c r="L29" s="12" t="s">
        <v>148</v>
      </c>
      <c r="M29" s="20">
        <v>1000000</v>
      </c>
      <c r="N29" s="12" t="s">
        <v>148</v>
      </c>
      <c r="O29" s="20">
        <v>1000000</v>
      </c>
      <c r="P29" s="12" t="s">
        <v>148</v>
      </c>
      <c r="Q29" s="20">
        <v>1000000</v>
      </c>
      <c r="R29" s="12" t="s">
        <v>148</v>
      </c>
      <c r="S29" s="20">
        <v>1000000</v>
      </c>
      <c r="T29" s="12" t="s">
        <v>148</v>
      </c>
      <c r="U29" s="20">
        <v>1000000</v>
      </c>
      <c r="V29" s="12" t="s">
        <v>148</v>
      </c>
      <c r="W29" s="20">
        <v>1000000</v>
      </c>
      <c r="X29" s="12" t="s">
        <v>148</v>
      </c>
      <c r="Y29" s="20">
        <v>1000000</v>
      </c>
    </row>
    <row r="30" spans="1:25" x14ac:dyDescent="0.25">
      <c r="A30" s="305"/>
      <c r="B30" s="13" t="s">
        <v>149</v>
      </c>
      <c r="C30" s="21">
        <f>+C28*C29</f>
        <v>2000000</v>
      </c>
      <c r="D30" s="13" t="s">
        <v>149</v>
      </c>
      <c r="E30" s="21">
        <f>+E28*E29</f>
        <v>2000000</v>
      </c>
      <c r="F30" s="13" t="s">
        <v>149</v>
      </c>
      <c r="G30" s="21">
        <f>+G28*G29</f>
        <v>2000000</v>
      </c>
      <c r="H30" s="13" t="s">
        <v>149</v>
      </c>
      <c r="I30" s="21">
        <f>+I28*I29</f>
        <v>2000000</v>
      </c>
      <c r="J30" s="13" t="s">
        <v>149</v>
      </c>
      <c r="K30" s="21">
        <f>+K28*K29</f>
        <v>2000000</v>
      </c>
      <c r="L30" s="13" t="s">
        <v>149</v>
      </c>
      <c r="M30" s="21">
        <f>+M28*M29</f>
        <v>2000000</v>
      </c>
      <c r="N30" s="13" t="s">
        <v>149</v>
      </c>
      <c r="O30" s="21">
        <f>+O28*O29</f>
        <v>2000000</v>
      </c>
      <c r="P30" s="13" t="s">
        <v>149</v>
      </c>
      <c r="Q30" s="21">
        <f>+Q28*Q29</f>
        <v>2000000</v>
      </c>
      <c r="R30" s="13" t="s">
        <v>149</v>
      </c>
      <c r="S30" s="21">
        <f>+S28*S29</f>
        <v>2000000</v>
      </c>
      <c r="T30" s="13" t="s">
        <v>149</v>
      </c>
      <c r="U30" s="21">
        <f>+U28*U29</f>
        <v>2000000</v>
      </c>
      <c r="V30" s="13" t="s">
        <v>149</v>
      </c>
      <c r="W30" s="21">
        <f>+W28*W29</f>
        <v>2000000</v>
      </c>
      <c r="X30" s="13" t="s">
        <v>149</v>
      </c>
      <c r="Y30" s="21">
        <f>+Y28*Y29</f>
        <v>2000000</v>
      </c>
    </row>
    <row r="31" spans="1:25" x14ac:dyDescent="0.25">
      <c r="A31" s="305"/>
      <c r="B31" s="18"/>
      <c r="C31" s="22"/>
      <c r="D31" s="18"/>
      <c r="E31" s="22"/>
      <c r="F31" s="18"/>
      <c r="G31" s="22"/>
      <c r="H31" s="18"/>
      <c r="I31" s="22"/>
      <c r="J31" s="18"/>
      <c r="K31" s="22"/>
      <c r="L31" s="18"/>
      <c r="M31" s="22"/>
      <c r="N31" s="18"/>
      <c r="O31" s="22"/>
      <c r="P31" s="18"/>
      <c r="Q31" s="22"/>
      <c r="R31" s="18"/>
      <c r="S31" s="22"/>
      <c r="T31" s="18"/>
      <c r="U31" s="22"/>
      <c r="V31" s="18"/>
      <c r="W31" s="22"/>
      <c r="X31" s="18"/>
      <c r="Y31" s="22"/>
    </row>
    <row r="32" spans="1:25" ht="15.75" thickBot="1" x14ac:dyDescent="0.3">
      <c r="A32" s="306"/>
      <c r="B32" s="13" t="s">
        <v>2</v>
      </c>
      <c r="C32" s="23">
        <f>SUM(C30+C31)</f>
        <v>2000000</v>
      </c>
      <c r="D32" s="13" t="s">
        <v>2</v>
      </c>
      <c r="E32" s="23">
        <f>SUM(E30+E31)</f>
        <v>2000000</v>
      </c>
      <c r="F32" s="13" t="s">
        <v>2</v>
      </c>
      <c r="G32" s="23">
        <f>SUM(G30+G31)</f>
        <v>2000000</v>
      </c>
      <c r="H32" s="13" t="s">
        <v>2</v>
      </c>
      <c r="I32" s="23">
        <f>SUM(I30+I31)</f>
        <v>2000000</v>
      </c>
      <c r="J32" s="13" t="s">
        <v>2</v>
      </c>
      <c r="K32" s="23">
        <f>SUM(K30+K31)</f>
        <v>2000000</v>
      </c>
      <c r="L32" s="13" t="s">
        <v>2</v>
      </c>
      <c r="M32" s="23">
        <f>SUM(M30+M31)</f>
        <v>2000000</v>
      </c>
      <c r="N32" s="13" t="s">
        <v>2</v>
      </c>
      <c r="O32" s="23">
        <f>SUM(O30+O31)</f>
        <v>2000000</v>
      </c>
      <c r="P32" s="13" t="s">
        <v>2</v>
      </c>
      <c r="Q32" s="23">
        <f>SUM(Q30+Q31)</f>
        <v>2000000</v>
      </c>
      <c r="R32" s="13" t="s">
        <v>2</v>
      </c>
      <c r="S32" s="23">
        <f>SUM(S30+S31)</f>
        <v>2000000</v>
      </c>
      <c r="T32" s="13" t="s">
        <v>2</v>
      </c>
      <c r="U32" s="23">
        <f>SUM(U30+U31)</f>
        <v>2000000</v>
      </c>
      <c r="V32" s="13" t="s">
        <v>2</v>
      </c>
      <c r="W32" s="23">
        <f>SUM(W30+W31)</f>
        <v>2000000</v>
      </c>
      <c r="X32" s="13" t="s">
        <v>2</v>
      </c>
      <c r="Y32" s="23">
        <f>SUM(Y30+Y31)</f>
        <v>2000000</v>
      </c>
    </row>
    <row r="33" spans="1:25" ht="15.75" thickBot="1" x14ac:dyDescent="0.3">
      <c r="A33" s="24"/>
      <c r="B33" s="18"/>
      <c r="C33" s="25"/>
      <c r="D33" s="18"/>
      <c r="E33" s="25"/>
      <c r="F33" s="18"/>
      <c r="G33" s="25"/>
      <c r="H33" s="18"/>
      <c r="I33" s="25"/>
      <c r="J33" s="18"/>
      <c r="K33" s="25"/>
      <c r="L33" s="18"/>
      <c r="M33" s="25"/>
      <c r="N33" s="18"/>
      <c r="O33" s="25"/>
      <c r="P33" s="18"/>
      <c r="Q33" s="25"/>
      <c r="R33" s="18"/>
      <c r="S33" s="25"/>
      <c r="T33" s="18"/>
      <c r="U33" s="25"/>
      <c r="V33" s="18"/>
      <c r="W33" s="25"/>
      <c r="X33" s="18"/>
      <c r="Y33" s="25"/>
    </row>
    <row r="34" spans="1:25" x14ac:dyDescent="0.25">
      <c r="A34" s="304" t="s">
        <v>325</v>
      </c>
      <c r="B34" s="12" t="s">
        <v>147</v>
      </c>
      <c r="C34" s="20">
        <v>1</v>
      </c>
      <c r="D34" s="12" t="s">
        <v>147</v>
      </c>
      <c r="E34" s="20">
        <v>1</v>
      </c>
      <c r="F34" s="12" t="s">
        <v>147</v>
      </c>
      <c r="G34" s="20">
        <v>1</v>
      </c>
      <c r="H34" s="12" t="s">
        <v>147</v>
      </c>
      <c r="I34" s="20">
        <v>1</v>
      </c>
      <c r="J34" s="12" t="s">
        <v>147</v>
      </c>
      <c r="K34" s="20">
        <v>1</v>
      </c>
      <c r="L34" s="12" t="s">
        <v>147</v>
      </c>
      <c r="M34" s="20">
        <v>1</v>
      </c>
      <c r="N34" s="12" t="s">
        <v>147</v>
      </c>
      <c r="O34" s="20">
        <v>1</v>
      </c>
      <c r="P34" s="12" t="s">
        <v>147</v>
      </c>
      <c r="Q34" s="20">
        <v>1</v>
      </c>
      <c r="R34" s="12" t="s">
        <v>147</v>
      </c>
      <c r="S34" s="20">
        <v>1</v>
      </c>
      <c r="T34" s="12" t="s">
        <v>147</v>
      </c>
      <c r="U34" s="20">
        <v>1</v>
      </c>
      <c r="V34" s="12" t="s">
        <v>147</v>
      </c>
      <c r="W34" s="20">
        <v>1</v>
      </c>
      <c r="X34" s="12" t="s">
        <v>147</v>
      </c>
      <c r="Y34" s="20">
        <v>1</v>
      </c>
    </row>
    <row r="35" spans="1:25" x14ac:dyDescent="0.25">
      <c r="A35" s="305"/>
      <c r="B35" s="12" t="s">
        <v>148</v>
      </c>
      <c r="C35" s="20">
        <v>1000000</v>
      </c>
      <c r="D35" s="12" t="s">
        <v>148</v>
      </c>
      <c r="E35" s="20">
        <v>1000000</v>
      </c>
      <c r="F35" s="12" t="s">
        <v>148</v>
      </c>
      <c r="G35" s="20">
        <v>1000000</v>
      </c>
      <c r="H35" s="12" t="s">
        <v>148</v>
      </c>
      <c r="I35" s="20">
        <v>1000000</v>
      </c>
      <c r="J35" s="12" t="s">
        <v>148</v>
      </c>
      <c r="K35" s="20">
        <v>1000000</v>
      </c>
      <c r="L35" s="12" t="s">
        <v>148</v>
      </c>
      <c r="M35" s="20">
        <v>1000000</v>
      </c>
      <c r="N35" s="12" t="s">
        <v>148</v>
      </c>
      <c r="O35" s="20">
        <v>1000000</v>
      </c>
      <c r="P35" s="12" t="s">
        <v>148</v>
      </c>
      <c r="Q35" s="20">
        <v>1000000</v>
      </c>
      <c r="R35" s="12" t="s">
        <v>148</v>
      </c>
      <c r="S35" s="20">
        <v>1000000</v>
      </c>
      <c r="T35" s="12" t="s">
        <v>148</v>
      </c>
      <c r="U35" s="20">
        <v>1000000</v>
      </c>
      <c r="V35" s="12" t="s">
        <v>148</v>
      </c>
      <c r="W35" s="20">
        <v>1000000</v>
      </c>
      <c r="X35" s="12" t="s">
        <v>148</v>
      </c>
      <c r="Y35" s="20">
        <v>1000000</v>
      </c>
    </row>
    <row r="36" spans="1:25" x14ac:dyDescent="0.25">
      <c r="A36" s="305"/>
      <c r="B36" s="13" t="s">
        <v>149</v>
      </c>
      <c r="C36" s="21">
        <f>+C34*C35</f>
        <v>1000000</v>
      </c>
      <c r="D36" s="13" t="s">
        <v>149</v>
      </c>
      <c r="E36" s="21">
        <f>+E34*E35</f>
        <v>1000000</v>
      </c>
      <c r="F36" s="13" t="s">
        <v>149</v>
      </c>
      <c r="G36" s="21">
        <f>+G34*G35</f>
        <v>1000000</v>
      </c>
      <c r="H36" s="13" t="s">
        <v>149</v>
      </c>
      <c r="I36" s="21">
        <f>+I34*I35</f>
        <v>1000000</v>
      </c>
      <c r="J36" s="13" t="s">
        <v>149</v>
      </c>
      <c r="K36" s="21">
        <f>+K34*K35</f>
        <v>1000000</v>
      </c>
      <c r="L36" s="13" t="s">
        <v>149</v>
      </c>
      <c r="M36" s="21">
        <f>+M34*M35</f>
        <v>1000000</v>
      </c>
      <c r="N36" s="13" t="s">
        <v>149</v>
      </c>
      <c r="O36" s="21">
        <f>+O34*O35</f>
        <v>1000000</v>
      </c>
      <c r="P36" s="13" t="s">
        <v>149</v>
      </c>
      <c r="Q36" s="21">
        <f>+Q34*Q35</f>
        <v>1000000</v>
      </c>
      <c r="R36" s="13" t="s">
        <v>149</v>
      </c>
      <c r="S36" s="21">
        <f>+S34*S35</f>
        <v>1000000</v>
      </c>
      <c r="T36" s="13" t="s">
        <v>149</v>
      </c>
      <c r="U36" s="21">
        <f>+U34*U35</f>
        <v>1000000</v>
      </c>
      <c r="V36" s="13" t="s">
        <v>149</v>
      </c>
      <c r="W36" s="21">
        <f>+W34*W35</f>
        <v>1000000</v>
      </c>
      <c r="X36" s="13" t="s">
        <v>149</v>
      </c>
      <c r="Y36" s="21">
        <f>+Y34*Y35</f>
        <v>1000000</v>
      </c>
    </row>
    <row r="37" spans="1:25" x14ac:dyDescent="0.25">
      <c r="A37" s="305"/>
      <c r="B37" s="18"/>
      <c r="C37" s="22"/>
      <c r="D37" s="18"/>
      <c r="E37" s="22"/>
      <c r="F37" s="18"/>
      <c r="G37" s="22"/>
      <c r="H37" s="18"/>
      <c r="I37" s="22"/>
      <c r="J37" s="18"/>
      <c r="K37" s="22"/>
      <c r="L37" s="18"/>
      <c r="M37" s="22"/>
      <c r="N37" s="18"/>
      <c r="O37" s="22"/>
      <c r="P37" s="18"/>
      <c r="Q37" s="22"/>
      <c r="R37" s="18"/>
      <c r="S37" s="22"/>
      <c r="T37" s="18"/>
      <c r="U37" s="22"/>
      <c r="V37" s="18"/>
      <c r="W37" s="22"/>
      <c r="X37" s="18"/>
      <c r="Y37" s="22"/>
    </row>
    <row r="38" spans="1:25" ht="15.75" thickBot="1" x14ac:dyDescent="0.3">
      <c r="A38" s="305"/>
      <c r="B38" s="13" t="s">
        <v>2</v>
      </c>
      <c r="C38" s="23">
        <f>SUM(C36+C37)</f>
        <v>1000000</v>
      </c>
      <c r="D38" s="13" t="s">
        <v>2</v>
      </c>
      <c r="E38" s="23">
        <f>SUM(E36+E37)</f>
        <v>1000000</v>
      </c>
      <c r="F38" s="13" t="s">
        <v>2</v>
      </c>
      <c r="G38" s="23">
        <f>SUM(G36+G37)</f>
        <v>1000000</v>
      </c>
      <c r="H38" s="13" t="s">
        <v>2</v>
      </c>
      <c r="I38" s="23">
        <f>SUM(I36+I37)</f>
        <v>1000000</v>
      </c>
      <c r="J38" s="13" t="s">
        <v>2</v>
      </c>
      <c r="K38" s="23">
        <f>SUM(K36+K37)</f>
        <v>1000000</v>
      </c>
      <c r="L38" s="13" t="s">
        <v>2</v>
      </c>
      <c r="M38" s="23">
        <f>SUM(M36+M37)</f>
        <v>1000000</v>
      </c>
      <c r="N38" s="13" t="s">
        <v>2</v>
      </c>
      <c r="O38" s="23">
        <f>SUM(O36+O37)</f>
        <v>1000000</v>
      </c>
      <c r="P38" s="13" t="s">
        <v>2</v>
      </c>
      <c r="Q38" s="23">
        <f>SUM(Q36+Q37)</f>
        <v>1000000</v>
      </c>
      <c r="R38" s="13" t="s">
        <v>2</v>
      </c>
      <c r="S38" s="23">
        <f>SUM(S36+S37)</f>
        <v>1000000</v>
      </c>
      <c r="T38" s="13" t="s">
        <v>2</v>
      </c>
      <c r="U38" s="23">
        <f>SUM(U36+U37)</f>
        <v>1000000</v>
      </c>
      <c r="V38" s="13" t="s">
        <v>2</v>
      </c>
      <c r="W38" s="23">
        <f>SUM(W36+W37)</f>
        <v>1000000</v>
      </c>
      <c r="X38" s="13" t="s">
        <v>2</v>
      </c>
      <c r="Y38" s="23">
        <f>SUM(Y36+Y37)</f>
        <v>1000000</v>
      </c>
    </row>
    <row r="39" spans="1:25" s="16" customFormat="1" ht="16.5" thickBot="1" x14ac:dyDescent="0.3">
      <c r="A39" s="315" t="s">
        <v>74</v>
      </c>
      <c r="B39" s="316"/>
      <c r="C39" s="15">
        <f>+C8+C14+C20+C26+C32+C38</f>
        <v>11000000</v>
      </c>
      <c r="D39" s="28"/>
      <c r="E39" s="15">
        <f>+E8+E14+E20+E26+E32+E38</f>
        <v>11000000</v>
      </c>
      <c r="F39" s="28"/>
      <c r="G39" s="15">
        <f>+G8+G14+G20+G26+G32+G38</f>
        <v>11000000</v>
      </c>
      <c r="H39" s="28"/>
      <c r="I39" s="15">
        <f>+I8+I14+I20+I26+I32+I38</f>
        <v>11000000</v>
      </c>
      <c r="J39" s="28"/>
      <c r="K39" s="15">
        <f>+K8+K14+K20+K26+K32+K38</f>
        <v>11000000</v>
      </c>
      <c r="L39" s="28"/>
      <c r="M39" s="15">
        <f>+M8+M14+M20+M26+M32+M38</f>
        <v>11000000</v>
      </c>
      <c r="N39" s="28"/>
      <c r="O39" s="15">
        <f>+O8+O14+O20+O26+O32+O38</f>
        <v>11000000</v>
      </c>
      <c r="P39" s="28"/>
      <c r="Q39" s="15">
        <f>+Q8+Q14+Q20+Q26+Q32+Q38</f>
        <v>11000000</v>
      </c>
      <c r="R39" s="28"/>
      <c r="S39" s="15">
        <f>+S8+S14+S20+S26+S32+S38</f>
        <v>11000000</v>
      </c>
      <c r="T39" s="28"/>
      <c r="U39" s="15">
        <f>+U8+U14+U20+U26+U32+U38</f>
        <v>11000000</v>
      </c>
      <c r="V39" s="28"/>
      <c r="W39" s="15">
        <f>+W8+W14+W20+W26+W32+W38</f>
        <v>11000000</v>
      </c>
      <c r="X39" s="33"/>
      <c r="Y39" s="15">
        <f>+Y8+Y14+Y20+Y26+Y32+Y38</f>
        <v>11000000</v>
      </c>
    </row>
    <row r="40" spans="1:25" ht="15.75" thickBot="1" x14ac:dyDescent="0.3">
      <c r="A40" s="24"/>
      <c r="B40" s="26"/>
      <c r="C40" s="27"/>
      <c r="D40" s="24"/>
      <c r="E40" s="19"/>
      <c r="F40" s="24"/>
      <c r="G40" s="25"/>
      <c r="H40" s="24"/>
      <c r="I40" s="25"/>
      <c r="J40" s="24"/>
      <c r="K40" s="19"/>
      <c r="L40" s="24"/>
      <c r="M40" s="19"/>
      <c r="N40" s="24"/>
      <c r="O40" s="19"/>
      <c r="P40" s="24"/>
      <c r="Q40" s="19"/>
      <c r="R40" s="24"/>
      <c r="S40" s="19"/>
      <c r="T40" s="24"/>
      <c r="U40" s="19"/>
      <c r="V40" s="24"/>
      <c r="W40" s="19"/>
      <c r="X40" s="24"/>
      <c r="Y40" s="19"/>
    </row>
    <row r="41" spans="1:25" ht="15.75" thickBot="1" x14ac:dyDescent="0.3">
      <c r="A41" s="317" t="s">
        <v>70</v>
      </c>
      <c r="B41" s="318"/>
      <c r="C41" s="29">
        <v>31</v>
      </c>
      <c r="D41" s="30"/>
      <c r="E41" s="31">
        <v>29</v>
      </c>
      <c r="F41" s="24"/>
      <c r="G41" s="31">
        <v>31</v>
      </c>
      <c r="H41" s="24"/>
      <c r="I41" s="31">
        <v>30</v>
      </c>
      <c r="J41" s="24"/>
      <c r="K41" s="31">
        <v>31</v>
      </c>
      <c r="L41" s="24"/>
      <c r="M41" s="31">
        <v>30</v>
      </c>
      <c r="N41" s="24"/>
      <c r="O41" s="31">
        <v>31</v>
      </c>
      <c r="P41" s="24"/>
      <c r="Q41" s="31">
        <v>31</v>
      </c>
      <c r="R41" s="24"/>
      <c r="S41" s="31">
        <v>30</v>
      </c>
      <c r="T41" s="24"/>
      <c r="U41" s="31">
        <v>31</v>
      </c>
      <c r="V41" s="24"/>
      <c r="W41" s="31">
        <v>30</v>
      </c>
      <c r="X41" s="24"/>
      <c r="Y41" s="31">
        <v>31</v>
      </c>
    </row>
    <row r="42" spans="1:25" ht="15.75" thickBot="1" x14ac:dyDescent="0.3">
      <c r="A42" s="319" t="s">
        <v>71</v>
      </c>
      <c r="B42" s="320"/>
      <c r="C42" s="17">
        <f>+C41*C39</f>
        <v>341000000</v>
      </c>
      <c r="D42" s="24"/>
      <c r="E42" s="32">
        <f>+E41*E39</f>
        <v>319000000</v>
      </c>
      <c r="F42" s="24"/>
      <c r="G42" s="32">
        <f>+G41*G39</f>
        <v>341000000</v>
      </c>
      <c r="H42" s="24"/>
      <c r="I42" s="32">
        <f>+I41*I39</f>
        <v>330000000</v>
      </c>
      <c r="J42" s="24"/>
      <c r="K42" s="32">
        <f>+K41*K39</f>
        <v>341000000</v>
      </c>
      <c r="L42" s="24"/>
      <c r="M42" s="32">
        <f>+M41*M39</f>
        <v>330000000</v>
      </c>
      <c r="N42" s="24"/>
      <c r="O42" s="32">
        <f>+O41*O39</f>
        <v>341000000</v>
      </c>
      <c r="P42" s="24"/>
      <c r="Q42" s="32">
        <f>+Q41*Q39</f>
        <v>341000000</v>
      </c>
      <c r="R42" s="24"/>
      <c r="S42" s="32">
        <f>+S41*S39</f>
        <v>330000000</v>
      </c>
      <c r="T42" s="24"/>
      <c r="U42" s="32">
        <f>+U41*U39</f>
        <v>341000000</v>
      </c>
      <c r="V42" s="24"/>
      <c r="W42" s="32">
        <f>+W41*W39</f>
        <v>330000000</v>
      </c>
      <c r="X42" s="24"/>
      <c r="Y42" s="32">
        <f>+Y41*Y39</f>
        <v>341000000</v>
      </c>
    </row>
    <row r="43" spans="1:25" ht="21.75" thickBot="1" x14ac:dyDescent="0.4">
      <c r="A43" s="36"/>
      <c r="B43" s="37"/>
      <c r="C43" s="38"/>
      <c r="D43" s="41" t="s">
        <v>72</v>
      </c>
      <c r="E43" s="38"/>
      <c r="F43" s="41" t="s">
        <v>73</v>
      </c>
      <c r="G43" s="38"/>
      <c r="H43" s="18"/>
      <c r="I43" s="38"/>
      <c r="J43" s="18"/>
      <c r="K43" s="38"/>
      <c r="L43" s="18"/>
      <c r="M43" s="38"/>
      <c r="N43" s="18"/>
      <c r="O43" s="38"/>
      <c r="P43" s="18"/>
      <c r="Q43" s="38"/>
      <c r="R43" s="18"/>
      <c r="S43" s="38"/>
      <c r="T43" s="18"/>
      <c r="U43" s="38"/>
      <c r="V43" s="18"/>
      <c r="W43" s="38"/>
      <c r="X43" s="18"/>
      <c r="Y43" s="38"/>
    </row>
    <row r="44" spans="1:25" ht="21.75" thickBot="1" x14ac:dyDescent="0.4">
      <c r="A44" s="313" t="s">
        <v>181</v>
      </c>
      <c r="B44" s="314"/>
      <c r="C44" s="4"/>
      <c r="D44" s="34">
        <f>SUM(C42:M42)</f>
        <v>2002000000</v>
      </c>
      <c r="F44" s="35">
        <f>SUM(O42:Y42)</f>
        <v>2024000000</v>
      </c>
    </row>
    <row r="45" spans="1:25" ht="21.75" thickBot="1" x14ac:dyDescent="0.4">
      <c r="A45" s="176"/>
      <c r="B45" s="177"/>
      <c r="C45" s="179" t="s">
        <v>186</v>
      </c>
      <c r="D45" s="172">
        <f>+D44*4%</f>
        <v>80080000</v>
      </c>
      <c r="F45" s="172">
        <f>+F44*4%</f>
        <v>80960000</v>
      </c>
    </row>
    <row r="46" spans="1:25" ht="21.75" thickBot="1" x14ac:dyDescent="0.4">
      <c r="A46" s="313" t="s">
        <v>182</v>
      </c>
      <c r="B46" s="314"/>
      <c r="C46" s="173"/>
      <c r="D46" s="172">
        <f>+D45+D44-10000000</f>
        <v>2072080000</v>
      </c>
      <c r="E46" s="173"/>
      <c r="F46" s="172">
        <f>+F45+F44-10000000</f>
        <v>2094960000</v>
      </c>
      <c r="G46" s="4"/>
      <c r="N46" s="39"/>
    </row>
    <row r="47" spans="1:25" ht="21.75" thickBot="1" x14ac:dyDescent="0.4">
      <c r="A47" s="176"/>
      <c r="B47" s="177"/>
      <c r="C47" s="180" t="s">
        <v>187</v>
      </c>
      <c r="D47" s="172">
        <f>+D46*5%</f>
        <v>103604000</v>
      </c>
      <c r="E47" s="173"/>
      <c r="F47" s="172">
        <f>+F46*5%</f>
        <v>104748000</v>
      </c>
      <c r="N47" s="39"/>
    </row>
    <row r="48" spans="1:25" ht="21.75" thickBot="1" x14ac:dyDescent="0.4">
      <c r="A48" s="313" t="s">
        <v>183</v>
      </c>
      <c r="B48" s="314"/>
      <c r="C48" s="173"/>
      <c r="D48" s="172">
        <f>+D46+D47</f>
        <v>2175684000</v>
      </c>
      <c r="E48" s="173"/>
      <c r="F48" s="172">
        <f>+F46+F47</f>
        <v>2199708000</v>
      </c>
      <c r="G48" s="4"/>
    </row>
    <row r="49" spans="1:6" ht="21.75" thickBot="1" x14ac:dyDescent="0.4">
      <c r="A49" s="311" t="s">
        <v>1</v>
      </c>
      <c r="B49" s="312"/>
      <c r="D49" s="39"/>
      <c r="E49" s="34">
        <f>+D44+F44</f>
        <v>4026000000</v>
      </c>
      <c r="F49" s="40"/>
    </row>
    <row r="50" spans="1:6" ht="21.75" thickBot="1" x14ac:dyDescent="0.4">
      <c r="A50" s="311" t="s">
        <v>184</v>
      </c>
      <c r="B50" s="312"/>
      <c r="D50" s="39"/>
      <c r="E50" s="34">
        <f>+D46+F46</f>
        <v>4167040000</v>
      </c>
      <c r="F50" s="40"/>
    </row>
    <row r="51" spans="1:6" ht="21.75" thickBot="1" x14ac:dyDescent="0.4">
      <c r="A51" s="311" t="s">
        <v>185</v>
      </c>
      <c r="B51" s="312"/>
      <c r="D51" s="39"/>
      <c r="E51" s="34">
        <f>+D48+F48</f>
        <v>4375392000</v>
      </c>
      <c r="F51" s="4"/>
    </row>
    <row r="53" spans="1:6" x14ac:dyDescent="0.25">
      <c r="E53" s="4">
        <f>SUM(E49:E52)</f>
        <v>12568432000</v>
      </c>
    </row>
    <row r="54" spans="1:6" x14ac:dyDescent="0.25">
      <c r="E54">
        <f>+'COSTOS DE PAGO DE FLOTA'!E53</f>
        <v>6873772000</v>
      </c>
    </row>
    <row r="55" spans="1:6" x14ac:dyDescent="0.25">
      <c r="E55" s="4">
        <f>+E53-E54</f>
        <v>5694660000</v>
      </c>
    </row>
    <row r="56" spans="1:6" x14ac:dyDescent="0.25">
      <c r="E56">
        <f>+'GASTOS DE VENTAS'!C11</f>
        <v>6250000</v>
      </c>
    </row>
    <row r="57" spans="1:6" x14ac:dyDescent="0.25">
      <c r="E57">
        <f>+NOMINAS!H39</f>
        <v>711870576.19200003</v>
      </c>
    </row>
    <row r="58" spans="1:6" x14ac:dyDescent="0.25">
      <c r="E58">
        <f>+INVENTARIOS!I23+INVENTARIOS!D23</f>
        <v>102320000</v>
      </c>
    </row>
    <row r="59" spans="1:6" x14ac:dyDescent="0.25">
      <c r="E59">
        <f>+'costo de mantenimiento de vehic'!H29+'costo de mantenimiento de vehic'!I29+'costo de mantenimiento de vehic'!J29</f>
        <v>73617660</v>
      </c>
    </row>
    <row r="60" spans="1:6" x14ac:dyDescent="0.25">
      <c r="E60">
        <f>+'PRES-FINAL'!R50*3</f>
        <v>54000000</v>
      </c>
    </row>
    <row r="61" spans="1:6" x14ac:dyDescent="0.25">
      <c r="E61">
        <f>+'PRES-FINAL'!R51*3</f>
        <v>27000000</v>
      </c>
    </row>
    <row r="62" spans="1:6" x14ac:dyDescent="0.25">
      <c r="E62">
        <f>+'PRES-FINAL'!R52*3</f>
        <v>10800000</v>
      </c>
    </row>
    <row r="63" spans="1:6" x14ac:dyDescent="0.25">
      <c r="E63">
        <f>+'PRES-FINAL'!R55*3</f>
        <v>70515000</v>
      </c>
    </row>
    <row r="64" spans="1:6" x14ac:dyDescent="0.25">
      <c r="E64">
        <f>+'PRES-FINAL'!R56*3</f>
        <v>29828160</v>
      </c>
    </row>
    <row r="65" spans="5:6" x14ac:dyDescent="0.25">
      <c r="E65" s="268">
        <f>SUM(E56:E64)</f>
        <v>1086201396.1919999</v>
      </c>
    </row>
    <row r="66" spans="5:6" x14ac:dyDescent="0.25">
      <c r="E66" s="269">
        <f>+E55-E65</f>
        <v>4608458603.8080006</v>
      </c>
      <c r="F66" s="267">
        <f>+E66/E53</f>
        <v>0.36666933502985899</v>
      </c>
    </row>
  </sheetData>
  <mergeCells count="28">
    <mergeCell ref="A22:A26"/>
    <mergeCell ref="A51:B51"/>
    <mergeCell ref="A44:B44"/>
    <mergeCell ref="A46:B46"/>
    <mergeCell ref="A48:B48"/>
    <mergeCell ref="A49:B49"/>
    <mergeCell ref="A50:B50"/>
    <mergeCell ref="A28:A32"/>
    <mergeCell ref="A34:A38"/>
    <mergeCell ref="A39:B39"/>
    <mergeCell ref="A41:B41"/>
    <mergeCell ref="A42:B42"/>
    <mergeCell ref="A16:A20"/>
    <mergeCell ref="A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A3:A8"/>
    <mergeCell ref="A10:A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view="pageBreakPreview" zoomScaleNormal="100" zoomScaleSheetLayoutView="100" workbookViewId="0">
      <pane ySplit="1" topLeftCell="A26" activePane="bottomLeft" state="frozen"/>
      <selection pane="bottomLeft" activeCell="C35" sqref="C35"/>
    </sheetView>
  </sheetViews>
  <sheetFormatPr baseColWidth="10" defaultRowHeight="15" x14ac:dyDescent="0.25"/>
  <cols>
    <col min="1" max="1" width="20" customWidth="1"/>
    <col min="2" max="2" width="23.85546875" customWidth="1"/>
    <col min="3" max="3" width="19" customWidth="1"/>
    <col min="4" max="4" width="23.140625" customWidth="1"/>
    <col min="5" max="6" width="23.28515625" customWidth="1"/>
    <col min="7" max="7" width="19.5703125" customWidth="1"/>
    <col min="8" max="8" width="22.85546875" customWidth="1"/>
    <col min="9" max="9" width="20.5703125" customWidth="1"/>
    <col min="10" max="10" width="22.7109375" customWidth="1"/>
    <col min="11" max="11" width="19" customWidth="1"/>
    <col min="12" max="12" width="22.7109375" customWidth="1"/>
    <col min="13" max="13" width="20.140625" customWidth="1"/>
    <col min="14" max="14" width="22.28515625" customWidth="1"/>
    <col min="15" max="15" width="20.7109375" customWidth="1"/>
    <col min="16" max="16" width="23" customWidth="1"/>
    <col min="17" max="18" width="22.7109375" customWidth="1"/>
    <col min="19" max="19" width="20" customWidth="1"/>
    <col min="20" max="20" width="22.7109375" customWidth="1"/>
    <col min="21" max="21" width="19.42578125" customWidth="1"/>
    <col min="22" max="22" width="22.7109375" customWidth="1"/>
    <col min="23" max="25" width="20" customWidth="1"/>
  </cols>
  <sheetData>
    <row r="1" spans="1:25" ht="74.25" customHeight="1" thickBot="1" x14ac:dyDescent="0.75">
      <c r="A1" s="307" t="s">
        <v>151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</row>
    <row r="2" spans="1:25" ht="15.75" thickBot="1" x14ac:dyDescent="0.3">
      <c r="A2" s="14" t="s">
        <v>0</v>
      </c>
      <c r="B2" s="308" t="s">
        <v>152</v>
      </c>
      <c r="C2" s="309"/>
      <c r="D2" s="308" t="s">
        <v>153</v>
      </c>
      <c r="E2" s="309"/>
      <c r="F2" s="308" t="s">
        <v>154</v>
      </c>
      <c r="G2" s="309"/>
      <c r="H2" s="308" t="s">
        <v>155</v>
      </c>
      <c r="I2" s="309"/>
      <c r="J2" s="308" t="s">
        <v>156</v>
      </c>
      <c r="K2" s="309"/>
      <c r="L2" s="308" t="s">
        <v>157</v>
      </c>
      <c r="M2" s="309"/>
      <c r="N2" s="308" t="s">
        <v>158</v>
      </c>
      <c r="O2" s="309"/>
      <c r="P2" s="308" t="s">
        <v>159</v>
      </c>
      <c r="Q2" s="309"/>
      <c r="R2" s="308" t="s">
        <v>160</v>
      </c>
      <c r="S2" s="309"/>
      <c r="T2" s="310" t="s">
        <v>161</v>
      </c>
      <c r="U2" s="309"/>
      <c r="V2" s="310" t="s">
        <v>162</v>
      </c>
      <c r="W2" s="309"/>
      <c r="X2" s="310" t="s">
        <v>163</v>
      </c>
      <c r="Y2" s="309"/>
    </row>
    <row r="3" spans="1:25" x14ac:dyDescent="0.25">
      <c r="A3" s="304" t="s">
        <v>3</v>
      </c>
      <c r="B3" s="18"/>
      <c r="C3" s="19"/>
      <c r="D3" s="18"/>
      <c r="E3" s="19"/>
      <c r="F3" s="18"/>
      <c r="G3" s="19"/>
      <c r="H3" s="18"/>
      <c r="I3" s="19"/>
      <c r="J3" s="18"/>
      <c r="K3" s="19"/>
      <c r="L3" s="18"/>
      <c r="M3" s="19"/>
      <c r="N3" s="18"/>
      <c r="O3" s="19"/>
      <c r="P3" s="18"/>
      <c r="Q3" s="19"/>
      <c r="R3" s="18"/>
      <c r="S3" s="19"/>
      <c r="T3" s="18"/>
      <c r="U3" s="19"/>
      <c r="V3" s="18"/>
      <c r="W3" s="19"/>
      <c r="X3" s="18"/>
      <c r="Y3" s="19"/>
    </row>
    <row r="4" spans="1:25" x14ac:dyDescent="0.25">
      <c r="A4" s="305"/>
      <c r="B4" s="12" t="s">
        <v>147</v>
      </c>
      <c r="C4" s="20">
        <v>2</v>
      </c>
      <c r="D4" s="12" t="s">
        <v>147</v>
      </c>
      <c r="E4" s="20">
        <v>2</v>
      </c>
      <c r="F4" s="12" t="s">
        <v>147</v>
      </c>
      <c r="G4" s="20">
        <v>2</v>
      </c>
      <c r="H4" s="12" t="s">
        <v>147</v>
      </c>
      <c r="I4" s="20">
        <v>2</v>
      </c>
      <c r="J4" s="12" t="s">
        <v>147</v>
      </c>
      <c r="K4" s="20">
        <v>2</v>
      </c>
      <c r="L4" s="12" t="s">
        <v>147</v>
      </c>
      <c r="M4" s="20">
        <v>2</v>
      </c>
      <c r="N4" s="12" t="s">
        <v>147</v>
      </c>
      <c r="O4" s="20">
        <v>2</v>
      </c>
      <c r="P4" s="12" t="s">
        <v>147</v>
      </c>
      <c r="Q4" s="20">
        <v>2</v>
      </c>
      <c r="R4" s="12" t="s">
        <v>147</v>
      </c>
      <c r="S4" s="20">
        <v>2</v>
      </c>
      <c r="T4" s="12" t="s">
        <v>147</v>
      </c>
      <c r="U4" s="20">
        <v>2</v>
      </c>
      <c r="V4" s="12" t="s">
        <v>147</v>
      </c>
      <c r="W4" s="20">
        <v>2</v>
      </c>
      <c r="X4" s="12" t="s">
        <v>147</v>
      </c>
      <c r="Y4" s="20">
        <v>2</v>
      </c>
    </row>
    <row r="5" spans="1:25" x14ac:dyDescent="0.25">
      <c r="A5" s="305"/>
      <c r="B5" s="12" t="s">
        <v>148</v>
      </c>
      <c r="C5" s="20">
        <v>500000</v>
      </c>
      <c r="D5" s="12" t="s">
        <v>148</v>
      </c>
      <c r="E5" s="20">
        <v>500000</v>
      </c>
      <c r="F5" s="12" t="s">
        <v>148</v>
      </c>
      <c r="G5" s="20">
        <v>500000</v>
      </c>
      <c r="H5" s="12" t="s">
        <v>148</v>
      </c>
      <c r="I5" s="20">
        <v>500000</v>
      </c>
      <c r="J5" s="12" t="s">
        <v>148</v>
      </c>
      <c r="K5" s="20">
        <v>500000</v>
      </c>
      <c r="L5" s="12" t="s">
        <v>148</v>
      </c>
      <c r="M5" s="20">
        <v>500000</v>
      </c>
      <c r="N5" s="12" t="s">
        <v>148</v>
      </c>
      <c r="O5" s="20">
        <v>500000</v>
      </c>
      <c r="P5" s="12" t="s">
        <v>148</v>
      </c>
      <c r="Q5" s="20">
        <v>500000</v>
      </c>
      <c r="R5" s="12" t="s">
        <v>148</v>
      </c>
      <c r="S5" s="20">
        <v>500000</v>
      </c>
      <c r="T5" s="12" t="s">
        <v>148</v>
      </c>
      <c r="U5" s="20">
        <v>500000</v>
      </c>
      <c r="V5" s="12" t="s">
        <v>148</v>
      </c>
      <c r="W5" s="20">
        <v>500000</v>
      </c>
      <c r="X5" s="12" t="s">
        <v>148</v>
      </c>
      <c r="Y5" s="20">
        <v>500000</v>
      </c>
    </row>
    <row r="6" spans="1:25" x14ac:dyDescent="0.25">
      <c r="A6" s="305"/>
      <c r="B6" s="13" t="s">
        <v>149</v>
      </c>
      <c r="C6" s="21">
        <f>+C4*C5</f>
        <v>1000000</v>
      </c>
      <c r="D6" s="13" t="s">
        <v>149</v>
      </c>
      <c r="E6" s="21">
        <f>+E4*E5</f>
        <v>1000000</v>
      </c>
      <c r="F6" s="13" t="s">
        <v>149</v>
      </c>
      <c r="G6" s="21">
        <f>+G4*G5</f>
        <v>1000000</v>
      </c>
      <c r="H6" s="13" t="s">
        <v>149</v>
      </c>
      <c r="I6" s="21">
        <f>+I4*I5</f>
        <v>1000000</v>
      </c>
      <c r="J6" s="13" t="s">
        <v>149</v>
      </c>
      <c r="K6" s="21">
        <f>+K4*K5</f>
        <v>1000000</v>
      </c>
      <c r="L6" s="13" t="s">
        <v>149</v>
      </c>
      <c r="M6" s="21">
        <f>+M4*M5</f>
        <v>1000000</v>
      </c>
      <c r="N6" s="13" t="s">
        <v>149</v>
      </c>
      <c r="O6" s="21">
        <f>+O4*O5</f>
        <v>1000000</v>
      </c>
      <c r="P6" s="13" t="s">
        <v>149</v>
      </c>
      <c r="Q6" s="21">
        <f>+Q4*Q5</f>
        <v>1000000</v>
      </c>
      <c r="R6" s="13" t="s">
        <v>149</v>
      </c>
      <c r="S6" s="21">
        <f>+S4*S5</f>
        <v>1000000</v>
      </c>
      <c r="T6" s="13" t="s">
        <v>149</v>
      </c>
      <c r="U6" s="21">
        <f>+U4*U5</f>
        <v>1000000</v>
      </c>
      <c r="V6" s="13" t="s">
        <v>149</v>
      </c>
      <c r="W6" s="21">
        <f>+W4*W5</f>
        <v>1000000</v>
      </c>
      <c r="X6" s="13" t="s">
        <v>149</v>
      </c>
      <c r="Y6" s="21">
        <f>+Y4*Y5</f>
        <v>1000000</v>
      </c>
    </row>
    <row r="7" spans="1:25" x14ac:dyDescent="0.25">
      <c r="A7" s="305"/>
      <c r="B7" s="18"/>
      <c r="C7" s="22"/>
      <c r="D7" s="18"/>
      <c r="E7" s="22"/>
      <c r="F7" s="18"/>
      <c r="G7" s="22"/>
      <c r="H7" s="18"/>
      <c r="I7" s="22"/>
      <c r="J7" s="18"/>
      <c r="K7" s="22"/>
      <c r="L7" s="18"/>
      <c r="M7" s="22"/>
      <c r="N7" s="18"/>
      <c r="O7" s="22"/>
      <c r="P7" s="18"/>
      <c r="Q7" s="22"/>
      <c r="R7" s="18"/>
      <c r="S7" s="22"/>
      <c r="T7" s="18"/>
      <c r="U7" s="22"/>
      <c r="V7" s="18"/>
      <c r="W7" s="22"/>
      <c r="X7" s="18"/>
      <c r="Y7" s="22"/>
    </row>
    <row r="8" spans="1:25" ht="15.75" thickBot="1" x14ac:dyDescent="0.3">
      <c r="A8" s="306"/>
      <c r="B8" s="13" t="s">
        <v>2</v>
      </c>
      <c r="C8" s="23">
        <f>SUM(C6+C7)</f>
        <v>1000000</v>
      </c>
      <c r="D8" s="13" t="s">
        <v>2</v>
      </c>
      <c r="E8" s="23">
        <f>SUM(E6+E7)</f>
        <v>1000000</v>
      </c>
      <c r="F8" s="13" t="s">
        <v>2</v>
      </c>
      <c r="G8" s="23">
        <f>SUM(G6+G7)</f>
        <v>1000000</v>
      </c>
      <c r="H8" s="13" t="s">
        <v>2</v>
      </c>
      <c r="I8" s="23">
        <f>SUM(I6+I7)</f>
        <v>1000000</v>
      </c>
      <c r="J8" s="13" t="s">
        <v>2</v>
      </c>
      <c r="K8" s="23">
        <f>SUM(K6+K7)</f>
        <v>1000000</v>
      </c>
      <c r="L8" s="13" t="s">
        <v>2</v>
      </c>
      <c r="M8" s="23">
        <f>SUM(M6+M7)</f>
        <v>1000000</v>
      </c>
      <c r="N8" s="13" t="s">
        <v>2</v>
      </c>
      <c r="O8" s="23">
        <f>SUM(O6+O7)</f>
        <v>1000000</v>
      </c>
      <c r="P8" s="13" t="s">
        <v>2</v>
      </c>
      <c r="Q8" s="23">
        <f>SUM(Q6+Q7)</f>
        <v>1000000</v>
      </c>
      <c r="R8" s="13" t="s">
        <v>2</v>
      </c>
      <c r="S8" s="23">
        <f>SUM(S6+S7)</f>
        <v>1000000</v>
      </c>
      <c r="T8" s="13" t="s">
        <v>2</v>
      </c>
      <c r="U8" s="23">
        <f>SUM(U6+U7)</f>
        <v>1000000</v>
      </c>
      <c r="V8" s="13" t="s">
        <v>2</v>
      </c>
      <c r="W8" s="23">
        <f>SUM(W6+W7)</f>
        <v>1000000</v>
      </c>
      <c r="X8" s="13" t="s">
        <v>2</v>
      </c>
      <c r="Y8" s="23">
        <f>SUM(Y6+Y7)</f>
        <v>1000000</v>
      </c>
    </row>
    <row r="9" spans="1:25" ht="15.75" thickBot="1" x14ac:dyDescent="0.3">
      <c r="A9" s="24"/>
      <c r="B9" s="18"/>
      <c r="C9" s="25"/>
      <c r="D9" s="18"/>
      <c r="E9" s="25"/>
      <c r="F9" s="18"/>
      <c r="G9" s="25"/>
      <c r="H9" s="18"/>
      <c r="I9" s="25"/>
      <c r="J9" s="18"/>
      <c r="K9" s="25"/>
      <c r="L9" s="18"/>
      <c r="M9" s="25"/>
      <c r="N9" s="18"/>
      <c r="O9" s="25"/>
      <c r="P9" s="18"/>
      <c r="Q9" s="25"/>
      <c r="R9" s="18"/>
      <c r="S9" s="25"/>
      <c r="T9" s="18"/>
      <c r="U9" s="25"/>
      <c r="V9" s="18"/>
      <c r="W9" s="25"/>
      <c r="X9" s="18"/>
      <c r="Y9" s="25"/>
    </row>
    <row r="10" spans="1:25" x14ac:dyDescent="0.25">
      <c r="A10" s="304" t="s">
        <v>4</v>
      </c>
      <c r="B10" s="12" t="s">
        <v>147</v>
      </c>
      <c r="C10" s="20">
        <v>2</v>
      </c>
      <c r="D10" s="12" t="s">
        <v>147</v>
      </c>
      <c r="E10" s="20">
        <v>2</v>
      </c>
      <c r="F10" s="12" t="s">
        <v>147</v>
      </c>
      <c r="G10" s="20">
        <v>2</v>
      </c>
      <c r="H10" s="12" t="s">
        <v>147</v>
      </c>
      <c r="I10" s="20">
        <v>2</v>
      </c>
      <c r="J10" s="12" t="s">
        <v>147</v>
      </c>
      <c r="K10" s="20">
        <v>2</v>
      </c>
      <c r="L10" s="12" t="s">
        <v>147</v>
      </c>
      <c r="M10" s="20">
        <v>2</v>
      </c>
      <c r="N10" s="12" t="s">
        <v>147</v>
      </c>
      <c r="O10" s="20">
        <v>2</v>
      </c>
      <c r="P10" s="12" t="s">
        <v>147</v>
      </c>
      <c r="Q10" s="20">
        <v>2</v>
      </c>
      <c r="R10" s="12" t="s">
        <v>147</v>
      </c>
      <c r="S10" s="20">
        <v>2</v>
      </c>
      <c r="T10" s="12" t="s">
        <v>147</v>
      </c>
      <c r="U10" s="20">
        <v>2</v>
      </c>
      <c r="V10" s="12" t="s">
        <v>147</v>
      </c>
      <c r="W10" s="20">
        <v>2</v>
      </c>
      <c r="X10" s="12" t="s">
        <v>147</v>
      </c>
      <c r="Y10" s="20">
        <v>2</v>
      </c>
    </row>
    <row r="11" spans="1:25" x14ac:dyDescent="0.25">
      <c r="A11" s="305"/>
      <c r="B11" s="12" t="s">
        <v>148</v>
      </c>
      <c r="C11" s="20">
        <f>+C5</f>
        <v>500000</v>
      </c>
      <c r="D11" s="12" t="s">
        <v>148</v>
      </c>
      <c r="E11" s="20">
        <f>+E5</f>
        <v>500000</v>
      </c>
      <c r="F11" s="12" t="s">
        <v>148</v>
      </c>
      <c r="G11" s="20">
        <f>+G5</f>
        <v>500000</v>
      </c>
      <c r="H11" s="12" t="s">
        <v>148</v>
      </c>
      <c r="I11" s="20">
        <f>+I5</f>
        <v>500000</v>
      </c>
      <c r="J11" s="12" t="s">
        <v>148</v>
      </c>
      <c r="K11" s="20">
        <f>+K5</f>
        <v>500000</v>
      </c>
      <c r="L11" s="12" t="s">
        <v>148</v>
      </c>
      <c r="M11" s="20">
        <f>+M5</f>
        <v>500000</v>
      </c>
      <c r="N11" s="12" t="s">
        <v>148</v>
      </c>
      <c r="O11" s="20">
        <f>+O5</f>
        <v>500000</v>
      </c>
      <c r="P11" s="12" t="s">
        <v>148</v>
      </c>
      <c r="Q11" s="20">
        <f>+Q5</f>
        <v>500000</v>
      </c>
      <c r="R11" s="12" t="s">
        <v>148</v>
      </c>
      <c r="S11" s="20">
        <f>+S5</f>
        <v>500000</v>
      </c>
      <c r="T11" s="12" t="s">
        <v>148</v>
      </c>
      <c r="U11" s="20">
        <f>+U5</f>
        <v>500000</v>
      </c>
      <c r="V11" s="12" t="s">
        <v>148</v>
      </c>
      <c r="W11" s="20">
        <f>+W5</f>
        <v>500000</v>
      </c>
      <c r="X11" s="12" t="s">
        <v>148</v>
      </c>
      <c r="Y11" s="20">
        <f>+Y5</f>
        <v>500000</v>
      </c>
    </row>
    <row r="12" spans="1:25" x14ac:dyDescent="0.25">
      <c r="A12" s="305"/>
      <c r="B12" s="13" t="s">
        <v>149</v>
      </c>
      <c r="C12" s="21">
        <f>+C10*C11</f>
        <v>1000000</v>
      </c>
      <c r="D12" s="13" t="s">
        <v>149</v>
      </c>
      <c r="E12" s="21">
        <f>+E10*E11</f>
        <v>1000000</v>
      </c>
      <c r="F12" s="13" t="s">
        <v>149</v>
      </c>
      <c r="G12" s="21">
        <f>+G10*G11</f>
        <v>1000000</v>
      </c>
      <c r="H12" s="13" t="s">
        <v>149</v>
      </c>
      <c r="I12" s="21">
        <f>+I10*I11</f>
        <v>1000000</v>
      </c>
      <c r="J12" s="13" t="s">
        <v>149</v>
      </c>
      <c r="K12" s="21">
        <f>+K10*K11</f>
        <v>1000000</v>
      </c>
      <c r="L12" s="13" t="s">
        <v>149</v>
      </c>
      <c r="M12" s="21">
        <f>+M10*M11</f>
        <v>1000000</v>
      </c>
      <c r="N12" s="13" t="s">
        <v>149</v>
      </c>
      <c r="O12" s="21">
        <f>+O10*O11</f>
        <v>1000000</v>
      </c>
      <c r="P12" s="13" t="s">
        <v>149</v>
      </c>
      <c r="Q12" s="21">
        <f>+Q10*Q11</f>
        <v>1000000</v>
      </c>
      <c r="R12" s="13" t="s">
        <v>149</v>
      </c>
      <c r="S12" s="21">
        <f>+S10*S11</f>
        <v>1000000</v>
      </c>
      <c r="T12" s="13" t="s">
        <v>149</v>
      </c>
      <c r="U12" s="21">
        <f>+U10*U11</f>
        <v>1000000</v>
      </c>
      <c r="V12" s="13" t="s">
        <v>149</v>
      </c>
      <c r="W12" s="21">
        <f>+W10*W11</f>
        <v>1000000</v>
      </c>
      <c r="X12" s="13" t="s">
        <v>149</v>
      </c>
      <c r="Y12" s="21">
        <f>+Y10*Y11</f>
        <v>1000000</v>
      </c>
    </row>
    <row r="13" spans="1:25" x14ac:dyDescent="0.25">
      <c r="A13" s="305"/>
      <c r="B13" s="18"/>
      <c r="C13" s="22"/>
      <c r="D13" s="18"/>
      <c r="E13" s="22"/>
      <c r="F13" s="18"/>
      <c r="G13" s="22"/>
      <c r="H13" s="18"/>
      <c r="I13" s="22"/>
      <c r="J13" s="18"/>
      <c r="K13" s="22"/>
      <c r="L13" s="18"/>
      <c r="M13" s="22"/>
      <c r="N13" s="18"/>
      <c r="O13" s="22"/>
      <c r="P13" s="18"/>
      <c r="Q13" s="22"/>
      <c r="R13" s="18"/>
      <c r="S13" s="22"/>
      <c r="T13" s="18"/>
      <c r="U13" s="22"/>
      <c r="V13" s="18"/>
      <c r="W13" s="22"/>
      <c r="X13" s="18"/>
      <c r="Y13" s="22"/>
    </row>
    <row r="14" spans="1:25" ht="15.75" thickBot="1" x14ac:dyDescent="0.3">
      <c r="A14" s="306"/>
      <c r="B14" s="13" t="s">
        <v>2</v>
      </c>
      <c r="C14" s="23">
        <f>SUM(C12+C13)</f>
        <v>1000000</v>
      </c>
      <c r="D14" s="13" t="s">
        <v>2</v>
      </c>
      <c r="E14" s="23">
        <f>SUM(E12+E13)</f>
        <v>1000000</v>
      </c>
      <c r="F14" s="13" t="s">
        <v>2</v>
      </c>
      <c r="G14" s="23">
        <f>SUM(G12+G13)</f>
        <v>1000000</v>
      </c>
      <c r="H14" s="13" t="s">
        <v>2</v>
      </c>
      <c r="I14" s="23">
        <f>SUM(I12+I13)</f>
        <v>1000000</v>
      </c>
      <c r="J14" s="13" t="s">
        <v>2</v>
      </c>
      <c r="K14" s="23">
        <f>SUM(K12+K13)</f>
        <v>1000000</v>
      </c>
      <c r="L14" s="13" t="s">
        <v>2</v>
      </c>
      <c r="M14" s="23">
        <f>SUM(M12+M13)</f>
        <v>1000000</v>
      </c>
      <c r="N14" s="13" t="s">
        <v>2</v>
      </c>
      <c r="O14" s="23">
        <f>SUM(O12+O13)</f>
        <v>1000000</v>
      </c>
      <c r="P14" s="13" t="s">
        <v>2</v>
      </c>
      <c r="Q14" s="23">
        <f>SUM(Q12+Q13)</f>
        <v>1000000</v>
      </c>
      <c r="R14" s="13" t="s">
        <v>2</v>
      </c>
      <c r="S14" s="23">
        <f>SUM(S12+S13)</f>
        <v>1000000</v>
      </c>
      <c r="T14" s="13" t="s">
        <v>2</v>
      </c>
      <c r="U14" s="23">
        <f>SUM(U12+U13)</f>
        <v>1000000</v>
      </c>
      <c r="V14" s="13" t="s">
        <v>2</v>
      </c>
      <c r="W14" s="23">
        <f>SUM(W12+W13)</f>
        <v>1000000</v>
      </c>
      <c r="X14" s="13" t="s">
        <v>2</v>
      </c>
      <c r="Y14" s="23">
        <f>SUM(Y12+Y13)</f>
        <v>1000000</v>
      </c>
    </row>
    <row r="15" spans="1:25" ht="15.75" thickBot="1" x14ac:dyDescent="0.3">
      <c r="A15" s="24"/>
      <c r="B15" s="18"/>
      <c r="C15" s="19"/>
      <c r="D15" s="18"/>
      <c r="E15" s="19"/>
      <c r="F15" s="18"/>
      <c r="G15" s="19"/>
      <c r="H15" s="18"/>
      <c r="I15" s="19"/>
      <c r="J15" s="18"/>
      <c r="K15" s="19"/>
      <c r="L15" s="18"/>
      <c r="M15" s="19"/>
      <c r="N15" s="18"/>
      <c r="O15" s="19"/>
      <c r="P15" s="18"/>
      <c r="Q15" s="19"/>
      <c r="R15" s="18"/>
      <c r="S15" s="19"/>
      <c r="T15" s="18"/>
      <c r="U15" s="19"/>
      <c r="V15" s="18"/>
      <c r="W15" s="19"/>
      <c r="X15" s="18"/>
      <c r="Y15" s="19"/>
    </row>
    <row r="16" spans="1:25" x14ac:dyDescent="0.25">
      <c r="A16" s="304" t="s">
        <v>5</v>
      </c>
      <c r="B16" s="12" t="s">
        <v>147</v>
      </c>
      <c r="C16" s="20">
        <v>2</v>
      </c>
      <c r="D16" s="12" t="s">
        <v>147</v>
      </c>
      <c r="E16" s="20">
        <v>2</v>
      </c>
      <c r="F16" s="12" t="s">
        <v>147</v>
      </c>
      <c r="G16" s="20">
        <v>2</v>
      </c>
      <c r="H16" s="12" t="s">
        <v>147</v>
      </c>
      <c r="I16" s="20">
        <v>2</v>
      </c>
      <c r="J16" s="12" t="s">
        <v>147</v>
      </c>
      <c r="K16" s="20">
        <v>2</v>
      </c>
      <c r="L16" s="12" t="s">
        <v>147</v>
      </c>
      <c r="M16" s="20">
        <v>2</v>
      </c>
      <c r="N16" s="12" t="s">
        <v>147</v>
      </c>
      <c r="O16" s="20">
        <v>2</v>
      </c>
      <c r="P16" s="12" t="s">
        <v>147</v>
      </c>
      <c r="Q16" s="20">
        <v>2</v>
      </c>
      <c r="R16" s="12" t="s">
        <v>147</v>
      </c>
      <c r="S16" s="20">
        <v>2</v>
      </c>
      <c r="T16" s="12" t="s">
        <v>147</v>
      </c>
      <c r="U16" s="20">
        <v>2</v>
      </c>
      <c r="V16" s="12" t="s">
        <v>147</v>
      </c>
      <c r="W16" s="20">
        <v>2</v>
      </c>
      <c r="X16" s="12" t="s">
        <v>147</v>
      </c>
      <c r="Y16" s="20">
        <v>2</v>
      </c>
    </row>
    <row r="17" spans="1:25" x14ac:dyDescent="0.25">
      <c r="A17" s="305"/>
      <c r="B17" s="12" t="s">
        <v>148</v>
      </c>
      <c r="C17" s="20">
        <f>+C5</f>
        <v>500000</v>
      </c>
      <c r="D17" s="12" t="s">
        <v>148</v>
      </c>
      <c r="E17" s="20">
        <f>+E5</f>
        <v>500000</v>
      </c>
      <c r="F17" s="12" t="s">
        <v>148</v>
      </c>
      <c r="G17" s="20">
        <f>+G5</f>
        <v>500000</v>
      </c>
      <c r="H17" s="12" t="s">
        <v>148</v>
      </c>
      <c r="I17" s="20">
        <f>+I5</f>
        <v>500000</v>
      </c>
      <c r="J17" s="12" t="s">
        <v>148</v>
      </c>
      <c r="K17" s="20">
        <f>+K5</f>
        <v>500000</v>
      </c>
      <c r="L17" s="12" t="s">
        <v>148</v>
      </c>
      <c r="M17" s="20">
        <f>+M5</f>
        <v>500000</v>
      </c>
      <c r="N17" s="12" t="s">
        <v>148</v>
      </c>
      <c r="O17" s="20">
        <f>+O5</f>
        <v>500000</v>
      </c>
      <c r="P17" s="12" t="s">
        <v>148</v>
      </c>
      <c r="Q17" s="20">
        <f>+Q5</f>
        <v>500000</v>
      </c>
      <c r="R17" s="12" t="s">
        <v>148</v>
      </c>
      <c r="S17" s="20">
        <f>+S5</f>
        <v>500000</v>
      </c>
      <c r="T17" s="12" t="s">
        <v>148</v>
      </c>
      <c r="U17" s="20">
        <f>+U5</f>
        <v>500000</v>
      </c>
      <c r="V17" s="12" t="s">
        <v>148</v>
      </c>
      <c r="W17" s="20">
        <f>+W5</f>
        <v>500000</v>
      </c>
      <c r="X17" s="12" t="s">
        <v>148</v>
      </c>
      <c r="Y17" s="20">
        <f>+Y5</f>
        <v>500000</v>
      </c>
    </row>
    <row r="18" spans="1:25" x14ac:dyDescent="0.25">
      <c r="A18" s="305"/>
      <c r="B18" s="13" t="s">
        <v>149</v>
      </c>
      <c r="C18" s="21">
        <f>+C16*C17</f>
        <v>1000000</v>
      </c>
      <c r="D18" s="13" t="s">
        <v>149</v>
      </c>
      <c r="E18" s="21">
        <f>+E16*E17</f>
        <v>1000000</v>
      </c>
      <c r="F18" s="13" t="s">
        <v>149</v>
      </c>
      <c r="G18" s="21">
        <f>+G16*G17</f>
        <v>1000000</v>
      </c>
      <c r="H18" s="13" t="s">
        <v>149</v>
      </c>
      <c r="I18" s="21">
        <f>+I16*I17</f>
        <v>1000000</v>
      </c>
      <c r="J18" s="13" t="s">
        <v>149</v>
      </c>
      <c r="K18" s="21">
        <f>+K16*K17</f>
        <v>1000000</v>
      </c>
      <c r="L18" s="13" t="s">
        <v>149</v>
      </c>
      <c r="M18" s="21">
        <f>+M16*M17</f>
        <v>1000000</v>
      </c>
      <c r="N18" s="13" t="s">
        <v>149</v>
      </c>
      <c r="O18" s="21">
        <f>+O16*O17</f>
        <v>1000000</v>
      </c>
      <c r="P18" s="13" t="s">
        <v>149</v>
      </c>
      <c r="Q18" s="21">
        <f>+Q16*Q17</f>
        <v>1000000</v>
      </c>
      <c r="R18" s="13" t="s">
        <v>149</v>
      </c>
      <c r="S18" s="21">
        <f>+S16*S17</f>
        <v>1000000</v>
      </c>
      <c r="T18" s="13" t="s">
        <v>149</v>
      </c>
      <c r="U18" s="21">
        <f>+U16*U17</f>
        <v>1000000</v>
      </c>
      <c r="V18" s="13" t="s">
        <v>149</v>
      </c>
      <c r="W18" s="21">
        <f>+W16*W17</f>
        <v>1000000</v>
      </c>
      <c r="X18" s="13" t="s">
        <v>149</v>
      </c>
      <c r="Y18" s="21">
        <f>+Y16*Y17</f>
        <v>1000000</v>
      </c>
    </row>
    <row r="19" spans="1:25" x14ac:dyDescent="0.25">
      <c r="A19" s="305"/>
      <c r="B19" s="18"/>
      <c r="C19" s="22"/>
      <c r="D19" s="18"/>
      <c r="E19" s="22"/>
      <c r="F19" s="18"/>
      <c r="G19" s="22"/>
      <c r="H19" s="18"/>
      <c r="I19" s="22"/>
      <c r="J19" s="18"/>
      <c r="K19" s="22"/>
      <c r="L19" s="18"/>
      <c r="M19" s="22"/>
      <c r="N19" s="18"/>
      <c r="O19" s="22"/>
      <c r="P19" s="18"/>
      <c r="Q19" s="22"/>
      <c r="R19" s="18"/>
      <c r="S19" s="22"/>
      <c r="T19" s="18"/>
      <c r="U19" s="22"/>
      <c r="V19" s="18"/>
      <c r="W19" s="22"/>
      <c r="X19" s="18"/>
      <c r="Y19" s="22"/>
    </row>
    <row r="20" spans="1:25" ht="15.75" thickBot="1" x14ac:dyDescent="0.3">
      <c r="A20" s="306"/>
      <c r="B20" s="13" t="s">
        <v>2</v>
      </c>
      <c r="C20" s="23">
        <f>SUM(C18+C19)</f>
        <v>1000000</v>
      </c>
      <c r="D20" s="13" t="s">
        <v>2</v>
      </c>
      <c r="E20" s="23">
        <f>SUM(E18+E19)</f>
        <v>1000000</v>
      </c>
      <c r="F20" s="13" t="s">
        <v>2</v>
      </c>
      <c r="G20" s="23">
        <f>SUM(G18+G19)</f>
        <v>1000000</v>
      </c>
      <c r="H20" s="13" t="s">
        <v>2</v>
      </c>
      <c r="I20" s="23">
        <f>SUM(I18+I19)</f>
        <v>1000000</v>
      </c>
      <c r="J20" s="13" t="s">
        <v>2</v>
      </c>
      <c r="K20" s="23">
        <f>SUM(K18+K19)</f>
        <v>1000000</v>
      </c>
      <c r="L20" s="13" t="s">
        <v>2</v>
      </c>
      <c r="M20" s="23">
        <f>SUM(M18+M19)</f>
        <v>1000000</v>
      </c>
      <c r="N20" s="13" t="s">
        <v>2</v>
      </c>
      <c r="O20" s="23">
        <f>SUM(O18+O19)</f>
        <v>1000000</v>
      </c>
      <c r="P20" s="13" t="s">
        <v>2</v>
      </c>
      <c r="Q20" s="23">
        <f>SUM(Q18+Q19)</f>
        <v>1000000</v>
      </c>
      <c r="R20" s="13" t="s">
        <v>2</v>
      </c>
      <c r="S20" s="23">
        <f>SUM(S18+S19)</f>
        <v>1000000</v>
      </c>
      <c r="T20" s="13" t="s">
        <v>2</v>
      </c>
      <c r="U20" s="23">
        <f>SUM(U18+U19)</f>
        <v>1000000</v>
      </c>
      <c r="V20" s="13" t="s">
        <v>2</v>
      </c>
      <c r="W20" s="23">
        <f>SUM(W18+W19)</f>
        <v>1000000</v>
      </c>
      <c r="X20" s="13" t="s">
        <v>2</v>
      </c>
      <c r="Y20" s="23">
        <f>SUM(Y18+Y19)</f>
        <v>1000000</v>
      </c>
    </row>
    <row r="21" spans="1:25" ht="15.75" thickBot="1" x14ac:dyDescent="0.3">
      <c r="A21" s="24"/>
      <c r="B21" s="18"/>
      <c r="C21" s="19"/>
      <c r="D21" s="18"/>
      <c r="E21" s="19"/>
      <c r="F21" s="18"/>
      <c r="G21" s="19"/>
      <c r="H21" s="18"/>
      <c r="I21" s="19"/>
      <c r="J21" s="18"/>
      <c r="K21" s="19"/>
      <c r="L21" s="18"/>
      <c r="M21" s="19"/>
      <c r="N21" s="18"/>
      <c r="O21" s="19"/>
      <c r="P21" s="18"/>
      <c r="Q21" s="19"/>
      <c r="R21" s="18"/>
      <c r="S21" s="19"/>
      <c r="T21" s="18"/>
      <c r="U21" s="19"/>
      <c r="V21" s="18"/>
      <c r="W21" s="19"/>
      <c r="X21" s="18"/>
      <c r="Y21" s="19"/>
    </row>
    <row r="22" spans="1:25" x14ac:dyDescent="0.25">
      <c r="A22" s="304" t="s">
        <v>6</v>
      </c>
      <c r="B22" s="12" t="s">
        <v>147</v>
      </c>
      <c r="C22" s="20">
        <v>2</v>
      </c>
      <c r="D22" s="12" t="s">
        <v>147</v>
      </c>
      <c r="E22" s="20">
        <v>2</v>
      </c>
      <c r="F22" s="12" t="s">
        <v>147</v>
      </c>
      <c r="G22" s="20">
        <v>2</v>
      </c>
      <c r="H22" s="12" t="s">
        <v>147</v>
      </c>
      <c r="I22" s="20">
        <v>2</v>
      </c>
      <c r="J22" s="12" t="s">
        <v>147</v>
      </c>
      <c r="K22" s="20">
        <v>2</v>
      </c>
      <c r="L22" s="12" t="s">
        <v>147</v>
      </c>
      <c r="M22" s="20">
        <v>2</v>
      </c>
      <c r="N22" s="12" t="s">
        <v>147</v>
      </c>
      <c r="O22" s="20">
        <v>2</v>
      </c>
      <c r="P22" s="12" t="s">
        <v>147</v>
      </c>
      <c r="Q22" s="20">
        <v>2</v>
      </c>
      <c r="R22" s="12" t="s">
        <v>147</v>
      </c>
      <c r="S22" s="20">
        <v>2</v>
      </c>
      <c r="T22" s="12" t="s">
        <v>147</v>
      </c>
      <c r="U22" s="20">
        <v>2</v>
      </c>
      <c r="V22" s="12" t="s">
        <v>147</v>
      </c>
      <c r="W22" s="20">
        <v>2</v>
      </c>
      <c r="X22" s="12" t="s">
        <v>147</v>
      </c>
      <c r="Y22" s="20">
        <v>2</v>
      </c>
    </row>
    <row r="23" spans="1:25" x14ac:dyDescent="0.25">
      <c r="A23" s="305"/>
      <c r="B23" s="12" t="s">
        <v>148</v>
      </c>
      <c r="C23" s="20">
        <f>+C11</f>
        <v>500000</v>
      </c>
      <c r="D23" s="12" t="s">
        <v>148</v>
      </c>
      <c r="E23" s="20">
        <f>+E11</f>
        <v>500000</v>
      </c>
      <c r="F23" s="12" t="s">
        <v>148</v>
      </c>
      <c r="G23" s="20">
        <f>+G11</f>
        <v>500000</v>
      </c>
      <c r="H23" s="12" t="s">
        <v>148</v>
      </c>
      <c r="I23" s="20">
        <f>+I11</f>
        <v>500000</v>
      </c>
      <c r="J23" s="12" t="s">
        <v>148</v>
      </c>
      <c r="K23" s="20">
        <f>+K11</f>
        <v>500000</v>
      </c>
      <c r="L23" s="12" t="s">
        <v>148</v>
      </c>
      <c r="M23" s="20">
        <f>+M11</f>
        <v>500000</v>
      </c>
      <c r="N23" s="12" t="s">
        <v>148</v>
      </c>
      <c r="O23" s="20">
        <f>+O11</f>
        <v>500000</v>
      </c>
      <c r="P23" s="12" t="s">
        <v>148</v>
      </c>
      <c r="Q23" s="20">
        <f>+Q11</f>
        <v>500000</v>
      </c>
      <c r="R23" s="12" t="s">
        <v>148</v>
      </c>
      <c r="S23" s="20">
        <f>+S11</f>
        <v>500000</v>
      </c>
      <c r="T23" s="12" t="s">
        <v>148</v>
      </c>
      <c r="U23" s="20">
        <f>+U11</f>
        <v>500000</v>
      </c>
      <c r="V23" s="12" t="s">
        <v>148</v>
      </c>
      <c r="W23" s="20">
        <f>+W11</f>
        <v>500000</v>
      </c>
      <c r="X23" s="12" t="s">
        <v>148</v>
      </c>
      <c r="Y23" s="20">
        <f>+Y11</f>
        <v>500000</v>
      </c>
    </row>
    <row r="24" spans="1:25" x14ac:dyDescent="0.25">
      <c r="A24" s="305"/>
      <c r="B24" s="13" t="s">
        <v>149</v>
      </c>
      <c r="C24" s="21">
        <f>+C22*C23</f>
        <v>1000000</v>
      </c>
      <c r="D24" s="13" t="s">
        <v>149</v>
      </c>
      <c r="E24" s="21">
        <f>+E22*E23</f>
        <v>1000000</v>
      </c>
      <c r="F24" s="13" t="s">
        <v>149</v>
      </c>
      <c r="G24" s="21">
        <f>+G22*G23</f>
        <v>1000000</v>
      </c>
      <c r="H24" s="13" t="s">
        <v>149</v>
      </c>
      <c r="I24" s="21">
        <f>+I22*I23</f>
        <v>1000000</v>
      </c>
      <c r="J24" s="13" t="s">
        <v>149</v>
      </c>
      <c r="K24" s="21">
        <f>+K22*K23</f>
        <v>1000000</v>
      </c>
      <c r="L24" s="13" t="s">
        <v>149</v>
      </c>
      <c r="M24" s="21">
        <f>+M22*M23</f>
        <v>1000000</v>
      </c>
      <c r="N24" s="13" t="s">
        <v>149</v>
      </c>
      <c r="O24" s="21">
        <f>+O22*O23</f>
        <v>1000000</v>
      </c>
      <c r="P24" s="13" t="s">
        <v>149</v>
      </c>
      <c r="Q24" s="21">
        <f>+Q22*Q23</f>
        <v>1000000</v>
      </c>
      <c r="R24" s="13" t="s">
        <v>149</v>
      </c>
      <c r="S24" s="21">
        <f>+S22*S23</f>
        <v>1000000</v>
      </c>
      <c r="T24" s="13" t="s">
        <v>149</v>
      </c>
      <c r="U24" s="21">
        <f>+U22*U23</f>
        <v>1000000</v>
      </c>
      <c r="V24" s="13" t="s">
        <v>149</v>
      </c>
      <c r="W24" s="21">
        <f>+W22*W23</f>
        <v>1000000</v>
      </c>
      <c r="X24" s="13" t="s">
        <v>149</v>
      </c>
      <c r="Y24" s="21">
        <f>+Y22*Y23</f>
        <v>1000000</v>
      </c>
    </row>
    <row r="25" spans="1:25" x14ac:dyDescent="0.25">
      <c r="A25" s="305"/>
      <c r="B25" s="18"/>
      <c r="C25" s="22"/>
      <c r="D25" s="18"/>
      <c r="E25" s="22"/>
      <c r="F25" s="18"/>
      <c r="G25" s="22"/>
      <c r="H25" s="18"/>
      <c r="I25" s="22"/>
      <c r="J25" s="18"/>
      <c r="K25" s="22"/>
      <c r="L25" s="18"/>
      <c r="M25" s="22"/>
      <c r="N25" s="18"/>
      <c r="O25" s="22"/>
      <c r="P25" s="18"/>
      <c r="Q25" s="22"/>
      <c r="R25" s="18"/>
      <c r="S25" s="22"/>
      <c r="T25" s="18"/>
      <c r="U25" s="22"/>
      <c r="V25" s="18"/>
      <c r="W25" s="22"/>
      <c r="X25" s="18"/>
      <c r="Y25" s="22"/>
    </row>
    <row r="26" spans="1:25" ht="15.75" thickBot="1" x14ac:dyDescent="0.3">
      <c r="A26" s="306"/>
      <c r="B26" s="13" t="s">
        <v>2</v>
      </c>
      <c r="C26" s="23">
        <f>SUM(C24+C25)</f>
        <v>1000000</v>
      </c>
      <c r="D26" s="13" t="s">
        <v>2</v>
      </c>
      <c r="E26" s="23">
        <f>SUM(E24+E25)</f>
        <v>1000000</v>
      </c>
      <c r="F26" s="13" t="s">
        <v>2</v>
      </c>
      <c r="G26" s="23">
        <f>SUM(G24+G25)</f>
        <v>1000000</v>
      </c>
      <c r="H26" s="13" t="s">
        <v>2</v>
      </c>
      <c r="I26" s="23">
        <f>SUM(I24+I25)</f>
        <v>1000000</v>
      </c>
      <c r="J26" s="13" t="s">
        <v>2</v>
      </c>
      <c r="K26" s="23">
        <f>SUM(K24+K25)</f>
        <v>1000000</v>
      </c>
      <c r="L26" s="13" t="s">
        <v>2</v>
      </c>
      <c r="M26" s="23">
        <f>SUM(M24+M25)</f>
        <v>1000000</v>
      </c>
      <c r="N26" s="13" t="s">
        <v>2</v>
      </c>
      <c r="O26" s="23">
        <f>SUM(O24+O25)</f>
        <v>1000000</v>
      </c>
      <c r="P26" s="13" t="s">
        <v>2</v>
      </c>
      <c r="Q26" s="23">
        <f>SUM(Q24+Q25)</f>
        <v>1000000</v>
      </c>
      <c r="R26" s="13" t="s">
        <v>2</v>
      </c>
      <c r="S26" s="23">
        <f>SUM(S24+S25)</f>
        <v>1000000</v>
      </c>
      <c r="T26" s="13" t="s">
        <v>2</v>
      </c>
      <c r="U26" s="23">
        <f>SUM(U24+U25)</f>
        <v>1000000</v>
      </c>
      <c r="V26" s="13" t="s">
        <v>2</v>
      </c>
      <c r="W26" s="23">
        <f>SUM(W24+W25)</f>
        <v>1000000</v>
      </c>
      <c r="X26" s="13" t="s">
        <v>2</v>
      </c>
      <c r="Y26" s="23">
        <f>SUM(Y24+Y25)</f>
        <v>1000000</v>
      </c>
    </row>
    <row r="27" spans="1:25" ht="15.75" thickBot="1" x14ac:dyDescent="0.3">
      <c r="A27" s="24"/>
      <c r="B27" s="18"/>
      <c r="C27" s="19"/>
      <c r="D27" s="18"/>
      <c r="E27" s="19"/>
      <c r="F27" s="18"/>
      <c r="G27" s="19"/>
      <c r="H27" s="18"/>
      <c r="I27" s="19"/>
      <c r="J27" s="18"/>
      <c r="K27" s="19"/>
      <c r="L27" s="18"/>
      <c r="M27" s="19"/>
      <c r="N27" s="18"/>
      <c r="O27" s="19"/>
      <c r="P27" s="18"/>
      <c r="Q27" s="19"/>
      <c r="R27" s="18"/>
      <c r="S27" s="19"/>
      <c r="T27" s="18"/>
      <c r="U27" s="19"/>
      <c r="V27" s="18"/>
      <c r="W27" s="19"/>
      <c r="X27" s="18"/>
      <c r="Y27" s="19"/>
    </row>
    <row r="28" spans="1:25" x14ac:dyDescent="0.25">
      <c r="A28" s="304" t="s">
        <v>7</v>
      </c>
      <c r="B28" s="12" t="s">
        <v>147</v>
      </c>
      <c r="C28" s="20">
        <v>2</v>
      </c>
      <c r="D28" s="12" t="s">
        <v>147</v>
      </c>
      <c r="E28" s="20">
        <v>2</v>
      </c>
      <c r="F28" s="12" t="s">
        <v>147</v>
      </c>
      <c r="G28" s="20">
        <v>2</v>
      </c>
      <c r="H28" s="12" t="s">
        <v>147</v>
      </c>
      <c r="I28" s="20">
        <v>2</v>
      </c>
      <c r="J28" s="12" t="s">
        <v>147</v>
      </c>
      <c r="K28" s="20">
        <v>2</v>
      </c>
      <c r="L28" s="12" t="s">
        <v>147</v>
      </c>
      <c r="M28" s="20">
        <v>2</v>
      </c>
      <c r="N28" s="12" t="s">
        <v>147</v>
      </c>
      <c r="O28" s="20">
        <v>2</v>
      </c>
      <c r="P28" s="12" t="s">
        <v>147</v>
      </c>
      <c r="Q28" s="20">
        <v>2</v>
      </c>
      <c r="R28" s="12" t="s">
        <v>147</v>
      </c>
      <c r="S28" s="20">
        <v>2</v>
      </c>
      <c r="T28" s="12" t="s">
        <v>147</v>
      </c>
      <c r="U28" s="20">
        <v>2</v>
      </c>
      <c r="V28" s="12" t="s">
        <v>147</v>
      </c>
      <c r="W28" s="20">
        <v>2</v>
      </c>
      <c r="X28" s="12" t="s">
        <v>147</v>
      </c>
      <c r="Y28" s="20">
        <v>2</v>
      </c>
    </row>
    <row r="29" spans="1:25" x14ac:dyDescent="0.25">
      <c r="A29" s="305"/>
      <c r="B29" s="12" t="s">
        <v>148</v>
      </c>
      <c r="C29" s="20">
        <f>+C17</f>
        <v>500000</v>
      </c>
      <c r="D29" s="12" t="s">
        <v>148</v>
      </c>
      <c r="E29" s="20">
        <f>+E17</f>
        <v>500000</v>
      </c>
      <c r="F29" s="12" t="s">
        <v>148</v>
      </c>
      <c r="G29" s="20">
        <f>+G17</f>
        <v>500000</v>
      </c>
      <c r="H29" s="12" t="s">
        <v>148</v>
      </c>
      <c r="I29" s="20">
        <f>+I17</f>
        <v>500000</v>
      </c>
      <c r="J29" s="12" t="s">
        <v>148</v>
      </c>
      <c r="K29" s="20">
        <f>+K17</f>
        <v>500000</v>
      </c>
      <c r="L29" s="12" t="s">
        <v>148</v>
      </c>
      <c r="M29" s="20">
        <f>+M17</f>
        <v>500000</v>
      </c>
      <c r="N29" s="12" t="s">
        <v>148</v>
      </c>
      <c r="O29" s="20">
        <f>+O17</f>
        <v>500000</v>
      </c>
      <c r="P29" s="12" t="s">
        <v>148</v>
      </c>
      <c r="Q29" s="20">
        <f>+Q17</f>
        <v>500000</v>
      </c>
      <c r="R29" s="12" t="s">
        <v>148</v>
      </c>
      <c r="S29" s="20">
        <f>+S17</f>
        <v>500000</v>
      </c>
      <c r="T29" s="12" t="s">
        <v>148</v>
      </c>
      <c r="U29" s="20">
        <f>+U17</f>
        <v>500000</v>
      </c>
      <c r="V29" s="12" t="s">
        <v>148</v>
      </c>
      <c r="W29" s="20">
        <f>+W17</f>
        <v>500000</v>
      </c>
      <c r="X29" s="12" t="s">
        <v>148</v>
      </c>
      <c r="Y29" s="20">
        <f>+Y17</f>
        <v>500000</v>
      </c>
    </row>
    <row r="30" spans="1:25" x14ac:dyDescent="0.25">
      <c r="A30" s="305"/>
      <c r="B30" s="13" t="s">
        <v>149</v>
      </c>
      <c r="C30" s="21">
        <f>+C28*C29</f>
        <v>1000000</v>
      </c>
      <c r="D30" s="13" t="s">
        <v>149</v>
      </c>
      <c r="E30" s="21">
        <f>+E28*E29</f>
        <v>1000000</v>
      </c>
      <c r="F30" s="13" t="s">
        <v>149</v>
      </c>
      <c r="G30" s="21">
        <f>+G28*G29</f>
        <v>1000000</v>
      </c>
      <c r="H30" s="13" t="s">
        <v>149</v>
      </c>
      <c r="I30" s="21">
        <f>+I28*I29</f>
        <v>1000000</v>
      </c>
      <c r="J30" s="13" t="s">
        <v>149</v>
      </c>
      <c r="K30" s="21">
        <f>+K28*K29</f>
        <v>1000000</v>
      </c>
      <c r="L30" s="13" t="s">
        <v>149</v>
      </c>
      <c r="M30" s="21">
        <f>+M28*M29</f>
        <v>1000000</v>
      </c>
      <c r="N30" s="13" t="s">
        <v>149</v>
      </c>
      <c r="O30" s="21">
        <f>+O28*O29</f>
        <v>1000000</v>
      </c>
      <c r="P30" s="13" t="s">
        <v>149</v>
      </c>
      <c r="Q30" s="21">
        <f>+Q28*Q29</f>
        <v>1000000</v>
      </c>
      <c r="R30" s="13" t="s">
        <v>149</v>
      </c>
      <c r="S30" s="21">
        <f>+S28*S29</f>
        <v>1000000</v>
      </c>
      <c r="T30" s="13" t="s">
        <v>149</v>
      </c>
      <c r="U30" s="21">
        <f>+U28*U29</f>
        <v>1000000</v>
      </c>
      <c r="V30" s="13" t="s">
        <v>149</v>
      </c>
      <c r="W30" s="21">
        <f>+W28*W29</f>
        <v>1000000</v>
      </c>
      <c r="X30" s="13" t="s">
        <v>149</v>
      </c>
      <c r="Y30" s="21">
        <f>+Y28*Y29</f>
        <v>1000000</v>
      </c>
    </row>
    <row r="31" spans="1:25" x14ac:dyDescent="0.25">
      <c r="A31" s="305"/>
      <c r="B31" s="18"/>
      <c r="C31" s="22"/>
      <c r="D31" s="18"/>
      <c r="E31" s="22"/>
      <c r="F31" s="18"/>
      <c r="G31" s="22"/>
      <c r="H31" s="18"/>
      <c r="I31" s="22"/>
      <c r="J31" s="18"/>
      <c r="K31" s="22"/>
      <c r="L31" s="18"/>
      <c r="M31" s="22"/>
      <c r="N31" s="18"/>
      <c r="O31" s="22"/>
      <c r="P31" s="18"/>
      <c r="Q31" s="22"/>
      <c r="R31" s="18"/>
      <c r="S31" s="22"/>
      <c r="T31" s="18"/>
      <c r="U31" s="22"/>
      <c r="V31" s="18"/>
      <c r="W31" s="22"/>
      <c r="X31" s="18"/>
      <c r="Y31" s="22"/>
    </row>
    <row r="32" spans="1:25" ht="15.75" thickBot="1" x14ac:dyDescent="0.3">
      <c r="A32" s="306"/>
      <c r="B32" s="13" t="s">
        <v>2</v>
      </c>
      <c r="C32" s="23">
        <f>SUM(C30+C31)</f>
        <v>1000000</v>
      </c>
      <c r="D32" s="13" t="s">
        <v>2</v>
      </c>
      <c r="E32" s="23">
        <f>SUM(E30+E31)</f>
        <v>1000000</v>
      </c>
      <c r="F32" s="13" t="s">
        <v>2</v>
      </c>
      <c r="G32" s="23">
        <f>SUM(G30+G31)</f>
        <v>1000000</v>
      </c>
      <c r="H32" s="13" t="s">
        <v>2</v>
      </c>
      <c r="I32" s="23">
        <f>SUM(I30+I31)</f>
        <v>1000000</v>
      </c>
      <c r="J32" s="13" t="s">
        <v>2</v>
      </c>
      <c r="K32" s="23">
        <f>SUM(K30+K31)</f>
        <v>1000000</v>
      </c>
      <c r="L32" s="13" t="s">
        <v>2</v>
      </c>
      <c r="M32" s="23">
        <f>SUM(M30+M31)</f>
        <v>1000000</v>
      </c>
      <c r="N32" s="13" t="s">
        <v>2</v>
      </c>
      <c r="O32" s="23">
        <f>SUM(O30+O31)</f>
        <v>1000000</v>
      </c>
      <c r="P32" s="13" t="s">
        <v>2</v>
      </c>
      <c r="Q32" s="23">
        <f>SUM(Q30+Q31)</f>
        <v>1000000</v>
      </c>
      <c r="R32" s="13" t="s">
        <v>2</v>
      </c>
      <c r="S32" s="23">
        <f>SUM(S30+S31)</f>
        <v>1000000</v>
      </c>
      <c r="T32" s="13" t="s">
        <v>2</v>
      </c>
      <c r="U32" s="23">
        <f>SUM(U30+U31)</f>
        <v>1000000</v>
      </c>
      <c r="V32" s="13" t="s">
        <v>2</v>
      </c>
      <c r="W32" s="23">
        <f>SUM(W30+W31)</f>
        <v>1000000</v>
      </c>
      <c r="X32" s="13" t="s">
        <v>2</v>
      </c>
      <c r="Y32" s="23">
        <f>SUM(Y30+Y31)</f>
        <v>1000000</v>
      </c>
    </row>
    <row r="33" spans="1:25" ht="15.75" thickBot="1" x14ac:dyDescent="0.3">
      <c r="A33" s="24"/>
      <c r="B33" s="18"/>
      <c r="C33" s="25"/>
      <c r="D33" s="18"/>
      <c r="E33" s="25"/>
      <c r="F33" s="18"/>
      <c r="G33" s="25"/>
      <c r="H33" s="18"/>
      <c r="I33" s="25"/>
      <c r="J33" s="18"/>
      <c r="K33" s="25"/>
      <c r="L33" s="18"/>
      <c r="M33" s="25"/>
      <c r="N33" s="18"/>
      <c r="O33" s="25"/>
      <c r="P33" s="18"/>
      <c r="Q33" s="25"/>
      <c r="R33" s="18"/>
      <c r="S33" s="25"/>
      <c r="T33" s="18"/>
      <c r="U33" s="25"/>
      <c r="V33" s="18"/>
      <c r="W33" s="25"/>
      <c r="X33" s="18"/>
      <c r="Y33" s="25"/>
    </row>
    <row r="34" spans="1:25" x14ac:dyDescent="0.25">
      <c r="A34" s="304" t="s">
        <v>325</v>
      </c>
      <c r="B34" s="12" t="s">
        <v>147</v>
      </c>
      <c r="C34" s="20">
        <v>2</v>
      </c>
      <c r="D34" s="12" t="s">
        <v>147</v>
      </c>
      <c r="E34" s="20">
        <v>2</v>
      </c>
      <c r="F34" s="12" t="s">
        <v>147</v>
      </c>
      <c r="G34" s="20">
        <v>2</v>
      </c>
      <c r="H34" s="12" t="s">
        <v>147</v>
      </c>
      <c r="I34" s="20">
        <v>2</v>
      </c>
      <c r="J34" s="12" t="s">
        <v>147</v>
      </c>
      <c r="K34" s="20">
        <v>2</v>
      </c>
      <c r="L34" s="12" t="s">
        <v>147</v>
      </c>
      <c r="M34" s="20">
        <v>2</v>
      </c>
      <c r="N34" s="12" t="s">
        <v>147</v>
      </c>
      <c r="O34" s="20">
        <v>2</v>
      </c>
      <c r="P34" s="12" t="s">
        <v>147</v>
      </c>
      <c r="Q34" s="20">
        <v>2</v>
      </c>
      <c r="R34" s="12" t="s">
        <v>147</v>
      </c>
      <c r="S34" s="20">
        <v>2</v>
      </c>
      <c r="T34" s="12" t="s">
        <v>147</v>
      </c>
      <c r="U34" s="20">
        <v>2</v>
      </c>
      <c r="V34" s="12" t="s">
        <v>147</v>
      </c>
      <c r="W34" s="20">
        <v>2</v>
      </c>
      <c r="X34" s="12" t="s">
        <v>147</v>
      </c>
      <c r="Y34" s="20">
        <v>2</v>
      </c>
    </row>
    <row r="35" spans="1:25" x14ac:dyDescent="0.25">
      <c r="A35" s="305"/>
      <c r="B35" s="12" t="s">
        <v>148</v>
      </c>
      <c r="C35" s="20">
        <f>+C29</f>
        <v>500000</v>
      </c>
      <c r="D35" s="12" t="s">
        <v>148</v>
      </c>
      <c r="E35" s="20">
        <f>+E29</f>
        <v>500000</v>
      </c>
      <c r="F35" s="12" t="s">
        <v>148</v>
      </c>
      <c r="G35" s="20">
        <f>+G29</f>
        <v>500000</v>
      </c>
      <c r="H35" s="12" t="s">
        <v>148</v>
      </c>
      <c r="I35" s="20">
        <f>+I29</f>
        <v>500000</v>
      </c>
      <c r="J35" s="12" t="s">
        <v>148</v>
      </c>
      <c r="K35" s="20">
        <f>+K29</f>
        <v>500000</v>
      </c>
      <c r="L35" s="12" t="s">
        <v>148</v>
      </c>
      <c r="M35" s="20">
        <f>+M29</f>
        <v>500000</v>
      </c>
      <c r="N35" s="12" t="s">
        <v>148</v>
      </c>
      <c r="O35" s="20">
        <f>+O29</f>
        <v>500000</v>
      </c>
      <c r="P35" s="12" t="s">
        <v>148</v>
      </c>
      <c r="Q35" s="20">
        <f>+Q29</f>
        <v>500000</v>
      </c>
      <c r="R35" s="12" t="s">
        <v>148</v>
      </c>
      <c r="S35" s="20">
        <f>+S29</f>
        <v>500000</v>
      </c>
      <c r="T35" s="12" t="s">
        <v>148</v>
      </c>
      <c r="U35" s="20">
        <f>+U29</f>
        <v>500000</v>
      </c>
      <c r="V35" s="12" t="s">
        <v>148</v>
      </c>
      <c r="W35" s="20">
        <f>+W29</f>
        <v>500000</v>
      </c>
      <c r="X35" s="12" t="s">
        <v>148</v>
      </c>
      <c r="Y35" s="20">
        <f>+Y29</f>
        <v>500000</v>
      </c>
    </row>
    <row r="36" spans="1:25" x14ac:dyDescent="0.25">
      <c r="A36" s="305"/>
      <c r="B36" s="13" t="s">
        <v>149</v>
      </c>
      <c r="C36" s="21">
        <f>+C34*C35</f>
        <v>1000000</v>
      </c>
      <c r="D36" s="13" t="s">
        <v>149</v>
      </c>
      <c r="E36" s="21">
        <f>+E34*E35</f>
        <v>1000000</v>
      </c>
      <c r="F36" s="13" t="s">
        <v>149</v>
      </c>
      <c r="G36" s="21">
        <f>+G34*G35</f>
        <v>1000000</v>
      </c>
      <c r="H36" s="13" t="s">
        <v>149</v>
      </c>
      <c r="I36" s="21">
        <f>+I34*I35</f>
        <v>1000000</v>
      </c>
      <c r="J36" s="13" t="s">
        <v>149</v>
      </c>
      <c r="K36" s="21">
        <f>+K34*K35</f>
        <v>1000000</v>
      </c>
      <c r="L36" s="13" t="s">
        <v>149</v>
      </c>
      <c r="M36" s="21">
        <f>+M34*M35</f>
        <v>1000000</v>
      </c>
      <c r="N36" s="13" t="s">
        <v>149</v>
      </c>
      <c r="O36" s="21">
        <f>+O34*O35</f>
        <v>1000000</v>
      </c>
      <c r="P36" s="13" t="s">
        <v>149</v>
      </c>
      <c r="Q36" s="21">
        <f>+Q34*Q35</f>
        <v>1000000</v>
      </c>
      <c r="R36" s="13" t="s">
        <v>149</v>
      </c>
      <c r="S36" s="21">
        <f>+S34*S35</f>
        <v>1000000</v>
      </c>
      <c r="T36" s="13" t="s">
        <v>149</v>
      </c>
      <c r="U36" s="21">
        <f>+U34*U35</f>
        <v>1000000</v>
      </c>
      <c r="V36" s="13" t="s">
        <v>149</v>
      </c>
      <c r="W36" s="21">
        <f>+W34*W35</f>
        <v>1000000</v>
      </c>
      <c r="X36" s="13" t="s">
        <v>149</v>
      </c>
      <c r="Y36" s="21">
        <f>+Y34*Y35</f>
        <v>1000000</v>
      </c>
    </row>
    <row r="37" spans="1:25" x14ac:dyDescent="0.25">
      <c r="A37" s="305"/>
      <c r="B37" s="18"/>
      <c r="C37" s="22"/>
      <c r="D37" s="18"/>
      <c r="E37" s="22"/>
      <c r="F37" s="18"/>
      <c r="G37" s="22"/>
      <c r="H37" s="18"/>
      <c r="I37" s="22"/>
      <c r="J37" s="18"/>
      <c r="K37" s="22"/>
      <c r="L37" s="18"/>
      <c r="M37" s="22"/>
      <c r="N37" s="18"/>
      <c r="O37" s="22"/>
      <c r="P37" s="18"/>
      <c r="Q37" s="22"/>
      <c r="R37" s="18"/>
      <c r="S37" s="22"/>
      <c r="T37" s="18"/>
      <c r="U37" s="22"/>
      <c r="V37" s="18"/>
      <c r="W37" s="22"/>
      <c r="X37" s="18"/>
      <c r="Y37" s="22"/>
    </row>
    <row r="38" spans="1:25" ht="15.75" thickBot="1" x14ac:dyDescent="0.3">
      <c r="A38" s="305"/>
      <c r="B38" s="13" t="s">
        <v>2</v>
      </c>
      <c r="C38" s="23">
        <f>SUM(C36+C37)</f>
        <v>1000000</v>
      </c>
      <c r="D38" s="13" t="s">
        <v>2</v>
      </c>
      <c r="E38" s="23">
        <f>SUM(E36+E37)</f>
        <v>1000000</v>
      </c>
      <c r="F38" s="13" t="s">
        <v>2</v>
      </c>
      <c r="G38" s="23">
        <f>SUM(G36+G37)</f>
        <v>1000000</v>
      </c>
      <c r="H38" s="13" t="s">
        <v>2</v>
      </c>
      <c r="I38" s="23">
        <f>SUM(I36+I37)</f>
        <v>1000000</v>
      </c>
      <c r="J38" s="13" t="s">
        <v>2</v>
      </c>
      <c r="K38" s="23">
        <f>SUM(K36+K37)</f>
        <v>1000000</v>
      </c>
      <c r="L38" s="13" t="s">
        <v>2</v>
      </c>
      <c r="M38" s="23">
        <f>SUM(M36+M37)</f>
        <v>1000000</v>
      </c>
      <c r="N38" s="13" t="s">
        <v>2</v>
      </c>
      <c r="O38" s="23">
        <f>SUM(O36+O37)</f>
        <v>1000000</v>
      </c>
      <c r="P38" s="13" t="s">
        <v>2</v>
      </c>
      <c r="Q38" s="23">
        <f>SUM(Q36+Q37)</f>
        <v>1000000</v>
      </c>
      <c r="R38" s="13" t="s">
        <v>2</v>
      </c>
      <c r="S38" s="23">
        <f>SUM(S36+S37)</f>
        <v>1000000</v>
      </c>
      <c r="T38" s="13" t="s">
        <v>2</v>
      </c>
      <c r="U38" s="23">
        <f>SUM(U36+U37)</f>
        <v>1000000</v>
      </c>
      <c r="V38" s="13" t="s">
        <v>2</v>
      </c>
      <c r="W38" s="23">
        <f>SUM(W36+W37)</f>
        <v>1000000</v>
      </c>
      <c r="X38" s="13" t="s">
        <v>2</v>
      </c>
      <c r="Y38" s="23">
        <f>SUM(Y36+Y37)</f>
        <v>1000000</v>
      </c>
    </row>
    <row r="39" spans="1:25" s="16" customFormat="1" ht="16.5" thickBot="1" x14ac:dyDescent="0.3">
      <c r="A39" s="315" t="s">
        <v>74</v>
      </c>
      <c r="B39" s="316"/>
      <c r="C39" s="15">
        <f>+C8+C14+C20+C26+C32+C38</f>
        <v>6000000</v>
      </c>
      <c r="D39" s="28"/>
      <c r="E39" s="15">
        <f>+E8+E14+E20+E26+E32+E38</f>
        <v>6000000</v>
      </c>
      <c r="F39" s="28"/>
      <c r="G39" s="15">
        <f>+G8+G14+G20+G26+G32+G38</f>
        <v>6000000</v>
      </c>
      <c r="H39" s="28"/>
      <c r="I39" s="15">
        <f>+I8+I14+I20+I26+I32+I38</f>
        <v>6000000</v>
      </c>
      <c r="J39" s="28"/>
      <c r="K39" s="15">
        <f>+K8+K14+K20+K26+K32+K38</f>
        <v>6000000</v>
      </c>
      <c r="L39" s="28"/>
      <c r="M39" s="15">
        <f>+M8+M14+M20+M26+M32+M38</f>
        <v>6000000</v>
      </c>
      <c r="N39" s="28"/>
      <c r="O39" s="15">
        <f>+O8+O14+O20+O26+O32+O38</f>
        <v>6000000</v>
      </c>
      <c r="P39" s="28"/>
      <c r="Q39" s="15">
        <f>+Q8+Q14+Q20+Q26+Q32+Q38</f>
        <v>6000000</v>
      </c>
      <c r="R39" s="28"/>
      <c r="S39" s="15">
        <f>+S8+S14+S20+S26+S32+S38</f>
        <v>6000000</v>
      </c>
      <c r="T39" s="28"/>
      <c r="U39" s="15">
        <f>+U8+U14+U20+U26+U32+U38</f>
        <v>6000000</v>
      </c>
      <c r="V39" s="28"/>
      <c r="W39" s="15">
        <f>+W8+W14+W20+W26+W32+W38</f>
        <v>6000000</v>
      </c>
      <c r="X39" s="33"/>
      <c r="Y39" s="15">
        <f>+Y8+Y14+Y20+Y26+Y32+Y38</f>
        <v>6000000</v>
      </c>
    </row>
    <row r="40" spans="1:25" ht="15.75" thickBot="1" x14ac:dyDescent="0.3">
      <c r="A40" s="24"/>
      <c r="B40" s="26"/>
      <c r="C40" s="27"/>
      <c r="D40" s="24"/>
      <c r="E40" s="19"/>
      <c r="F40" s="24"/>
      <c r="G40" s="25"/>
      <c r="H40" s="24"/>
      <c r="I40" s="25"/>
      <c r="J40" s="24"/>
      <c r="K40" s="19"/>
      <c r="L40" s="24"/>
      <c r="M40" s="19"/>
      <c r="N40" s="24"/>
      <c r="O40" s="19"/>
      <c r="P40" s="24"/>
      <c r="Q40" s="19"/>
      <c r="R40" s="24"/>
      <c r="S40" s="19"/>
      <c r="T40" s="24"/>
      <c r="U40" s="19"/>
      <c r="V40" s="24"/>
      <c r="W40" s="19"/>
      <c r="X40" s="24"/>
      <c r="Y40" s="19"/>
    </row>
    <row r="41" spans="1:25" ht="15.75" thickBot="1" x14ac:dyDescent="0.3">
      <c r="A41" s="317" t="s">
        <v>70</v>
      </c>
      <c r="B41" s="318"/>
      <c r="C41" s="29">
        <v>31</v>
      </c>
      <c r="D41" s="30"/>
      <c r="E41" s="31">
        <v>29</v>
      </c>
      <c r="F41" s="24"/>
      <c r="G41" s="31">
        <v>31</v>
      </c>
      <c r="H41" s="24"/>
      <c r="I41" s="31">
        <v>30</v>
      </c>
      <c r="J41" s="24"/>
      <c r="K41" s="31">
        <v>31</v>
      </c>
      <c r="L41" s="24"/>
      <c r="M41" s="31">
        <v>30</v>
      </c>
      <c r="N41" s="24"/>
      <c r="O41" s="31">
        <v>31</v>
      </c>
      <c r="P41" s="24"/>
      <c r="Q41" s="31">
        <v>31</v>
      </c>
      <c r="R41" s="24"/>
      <c r="S41" s="31">
        <v>30</v>
      </c>
      <c r="T41" s="24"/>
      <c r="U41" s="31">
        <v>31</v>
      </c>
      <c r="V41" s="24"/>
      <c r="W41" s="31">
        <v>30</v>
      </c>
      <c r="X41" s="24"/>
      <c r="Y41" s="31">
        <v>31</v>
      </c>
    </row>
    <row r="42" spans="1:25" ht="15.75" thickBot="1" x14ac:dyDescent="0.3">
      <c r="A42" s="319" t="s">
        <v>71</v>
      </c>
      <c r="B42" s="320"/>
      <c r="C42" s="17">
        <f>+C41*C39</f>
        <v>186000000</v>
      </c>
      <c r="D42" s="24"/>
      <c r="E42" s="32">
        <f>+E41*E39</f>
        <v>174000000</v>
      </c>
      <c r="F42" s="24"/>
      <c r="G42" s="32">
        <f>+G41*G39</f>
        <v>186000000</v>
      </c>
      <c r="H42" s="24"/>
      <c r="I42" s="32">
        <f>+I41*I39</f>
        <v>180000000</v>
      </c>
      <c r="J42" s="24"/>
      <c r="K42" s="32">
        <f>+K41*K39</f>
        <v>186000000</v>
      </c>
      <c r="L42" s="24"/>
      <c r="M42" s="32">
        <f>+M41*M39</f>
        <v>180000000</v>
      </c>
      <c r="N42" s="24"/>
      <c r="O42" s="32">
        <f>+O41*O39</f>
        <v>186000000</v>
      </c>
      <c r="P42" s="24"/>
      <c r="Q42" s="32">
        <f>+Q41*Q39</f>
        <v>186000000</v>
      </c>
      <c r="R42" s="24"/>
      <c r="S42" s="32">
        <f>+S41*S39</f>
        <v>180000000</v>
      </c>
      <c r="T42" s="24"/>
      <c r="U42" s="32">
        <f>+U41*U39</f>
        <v>186000000</v>
      </c>
      <c r="V42" s="24"/>
      <c r="W42" s="32">
        <f>+W41*W39</f>
        <v>180000000</v>
      </c>
      <c r="X42" s="24"/>
      <c r="Y42" s="32">
        <f>+Y41*Y39</f>
        <v>186000000</v>
      </c>
    </row>
    <row r="43" spans="1:25" ht="21.75" thickBot="1" x14ac:dyDescent="0.4">
      <c r="A43" s="36"/>
      <c r="B43" s="37"/>
      <c r="C43" s="38"/>
      <c r="D43" s="41" t="s">
        <v>72</v>
      </c>
      <c r="E43" s="38"/>
      <c r="F43" s="41" t="s">
        <v>73</v>
      </c>
      <c r="G43" s="38"/>
      <c r="H43" s="18"/>
      <c r="I43" s="38"/>
      <c r="J43" s="18"/>
      <c r="K43" s="38"/>
      <c r="L43" s="18"/>
      <c r="M43" s="38"/>
      <c r="N43" s="18"/>
      <c r="O43" s="38"/>
      <c r="P43" s="18"/>
      <c r="Q43" s="38"/>
      <c r="R43" s="18"/>
      <c r="S43" s="38"/>
      <c r="T43" s="18"/>
      <c r="U43" s="38"/>
      <c r="V43" s="18"/>
      <c r="W43" s="38"/>
      <c r="X43" s="18"/>
      <c r="Y43" s="38"/>
    </row>
    <row r="44" spans="1:25" ht="21.75" thickBot="1" x14ac:dyDescent="0.4">
      <c r="A44" s="311" t="s">
        <v>181</v>
      </c>
      <c r="B44" s="312"/>
      <c r="C44" s="4"/>
      <c r="D44" s="34">
        <f>SUM(C42:M42)</f>
        <v>1092000000</v>
      </c>
      <c r="F44" s="35">
        <f>SUM(O42:Y42)</f>
        <v>1104000000</v>
      </c>
    </row>
    <row r="45" spans="1:25" ht="21.75" thickBot="1" x14ac:dyDescent="0.4">
      <c r="A45" s="174"/>
      <c r="B45" s="175"/>
      <c r="C45" s="179" t="s">
        <v>186</v>
      </c>
      <c r="D45" s="34">
        <f>+D44*4%</f>
        <v>43680000</v>
      </c>
      <c r="F45" s="34">
        <f>+F44*4%</f>
        <v>44160000</v>
      </c>
    </row>
    <row r="46" spans="1:25" ht="21.75" thickBot="1" x14ac:dyDescent="0.4">
      <c r="A46" s="311" t="s">
        <v>182</v>
      </c>
      <c r="B46" s="312"/>
      <c r="D46" s="34">
        <f>+D44+D45-1000000</f>
        <v>1134680000</v>
      </c>
      <c r="F46" s="34">
        <f>+F44+F45-1000000</f>
        <v>1147160000</v>
      </c>
      <c r="N46" s="39"/>
    </row>
    <row r="47" spans="1:25" ht="21.75" thickBot="1" x14ac:dyDescent="0.4">
      <c r="A47" s="174"/>
      <c r="B47" s="175"/>
      <c r="C47" s="181" t="s">
        <v>187</v>
      </c>
      <c r="D47" s="34">
        <f>+D46*5%</f>
        <v>56734000</v>
      </c>
      <c r="F47" s="34">
        <f>+F46*5%</f>
        <v>57358000</v>
      </c>
      <c r="N47" s="39"/>
    </row>
    <row r="48" spans="1:25" ht="21.75" thickBot="1" x14ac:dyDescent="0.4">
      <c r="A48" s="311" t="s">
        <v>183</v>
      </c>
      <c r="B48" s="312"/>
      <c r="D48" s="34">
        <f>+D46+D47</f>
        <v>1191414000</v>
      </c>
      <c r="F48" s="34">
        <f>+F46+F47</f>
        <v>1204518000</v>
      </c>
    </row>
    <row r="49" spans="1:7" ht="21.75" thickBot="1" x14ac:dyDescent="0.4">
      <c r="A49" s="311" t="s">
        <v>188</v>
      </c>
      <c r="B49" s="312"/>
      <c r="D49" s="39"/>
      <c r="E49" s="34">
        <f>+D44+F44</f>
        <v>2196000000</v>
      </c>
      <c r="F49" s="40"/>
    </row>
    <row r="50" spans="1:7" ht="21.75" thickBot="1" x14ac:dyDescent="0.4">
      <c r="A50" s="311" t="s">
        <v>184</v>
      </c>
      <c r="B50" s="312"/>
      <c r="D50" s="39"/>
      <c r="E50" s="34">
        <f>+D46+F46</f>
        <v>2281840000</v>
      </c>
      <c r="F50" s="40"/>
      <c r="G50" s="4"/>
    </row>
    <row r="51" spans="1:7" ht="21.75" thickBot="1" x14ac:dyDescent="0.4">
      <c r="A51" s="311" t="s">
        <v>185</v>
      </c>
      <c r="B51" s="312"/>
      <c r="D51" s="39"/>
      <c r="E51" s="34">
        <f>+D48+F48</f>
        <v>2395932000</v>
      </c>
      <c r="F51" s="40"/>
    </row>
    <row r="53" spans="1:7" x14ac:dyDescent="0.25">
      <c r="E53" s="4">
        <f>SUM(E49:E52)</f>
        <v>6873772000</v>
      </c>
    </row>
  </sheetData>
  <mergeCells count="28">
    <mergeCell ref="A22:A26"/>
    <mergeCell ref="A16:A20"/>
    <mergeCell ref="V2:W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A1:Y1"/>
    <mergeCell ref="A48:B48"/>
    <mergeCell ref="A49:B49"/>
    <mergeCell ref="A50:B50"/>
    <mergeCell ref="A51:B51"/>
    <mergeCell ref="A41:B41"/>
    <mergeCell ref="A44:B44"/>
    <mergeCell ref="A46:B46"/>
    <mergeCell ref="A28:A32"/>
    <mergeCell ref="A34:A38"/>
    <mergeCell ref="A39:B39"/>
    <mergeCell ref="A42:B42"/>
    <mergeCell ref="B2:C2"/>
    <mergeCell ref="X2:Y2"/>
    <mergeCell ref="A3:A8"/>
    <mergeCell ref="A10:A14"/>
  </mergeCells>
  <pageMargins left="0.7" right="0.7" top="0.75" bottom="0.75" header="0.3" footer="0.3"/>
  <pageSetup scale="1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16" sqref="E16"/>
    </sheetView>
  </sheetViews>
  <sheetFormatPr baseColWidth="10" defaultRowHeight="15" x14ac:dyDescent="0.25"/>
  <cols>
    <col min="1" max="1" width="23.7109375" customWidth="1"/>
    <col min="2" max="2" width="17.140625" customWidth="1"/>
    <col min="3" max="3" width="20.42578125" style="136" customWidth="1"/>
  </cols>
  <sheetData>
    <row r="1" spans="1:6" ht="21" x14ac:dyDescent="0.35">
      <c r="A1" s="322" t="s">
        <v>75</v>
      </c>
      <c r="B1" s="323"/>
      <c r="C1" s="324"/>
      <c r="D1" s="139"/>
      <c r="E1" s="139"/>
      <c r="F1" s="139"/>
    </row>
    <row r="2" spans="1:6" x14ac:dyDescent="0.25">
      <c r="A2" s="143" t="s">
        <v>168</v>
      </c>
      <c r="B2" s="325" t="s">
        <v>169</v>
      </c>
      <c r="C2" s="325"/>
    </row>
    <row r="3" spans="1:6" x14ac:dyDescent="0.25">
      <c r="A3" s="326" t="s">
        <v>165</v>
      </c>
      <c r="B3" s="327"/>
      <c r="C3" s="140"/>
    </row>
    <row r="4" spans="1:6" x14ac:dyDescent="0.25">
      <c r="A4" s="326" t="s">
        <v>76</v>
      </c>
      <c r="B4" s="327"/>
      <c r="C4" s="140"/>
    </row>
    <row r="5" spans="1:6" x14ac:dyDescent="0.25">
      <c r="A5" s="326" t="s">
        <v>166</v>
      </c>
      <c r="B5" s="327"/>
      <c r="C5" s="140">
        <v>3000000</v>
      </c>
    </row>
    <row r="6" spans="1:6" x14ac:dyDescent="0.25">
      <c r="A6" s="326" t="s">
        <v>77</v>
      </c>
      <c r="B6" s="327"/>
      <c r="C6" s="140"/>
    </row>
    <row r="7" spans="1:6" ht="15.75" thickBot="1" x14ac:dyDescent="0.3">
      <c r="A7" s="326" t="s">
        <v>78</v>
      </c>
      <c r="B7" s="327"/>
      <c r="C7" s="140"/>
    </row>
    <row r="8" spans="1:6" ht="30" x14ac:dyDescent="0.25">
      <c r="A8" s="304" t="s">
        <v>8</v>
      </c>
      <c r="B8" s="12" t="s">
        <v>167</v>
      </c>
      <c r="C8" s="137"/>
    </row>
    <row r="9" spans="1:6" x14ac:dyDescent="0.25">
      <c r="A9" s="305"/>
      <c r="B9" s="13" t="s">
        <v>9</v>
      </c>
      <c r="C9" s="138">
        <v>650000</v>
      </c>
    </row>
    <row r="10" spans="1:6" ht="15.75" thickBot="1" x14ac:dyDescent="0.3">
      <c r="A10" s="306"/>
      <c r="B10" s="13" t="s">
        <v>2</v>
      </c>
      <c r="C10" s="138">
        <f>+C9*4</f>
        <v>2600000</v>
      </c>
    </row>
    <row r="11" spans="1:6" ht="27" thickBot="1" x14ac:dyDescent="0.45">
      <c r="A11" s="319" t="s">
        <v>164</v>
      </c>
      <c r="B11" s="321"/>
      <c r="C11" s="141">
        <f>+C5+C9+C10</f>
        <v>6250000</v>
      </c>
    </row>
  </sheetData>
  <mergeCells count="9">
    <mergeCell ref="A11:B11"/>
    <mergeCell ref="A1:C1"/>
    <mergeCell ref="B2:C2"/>
    <mergeCell ref="A8:A10"/>
    <mergeCell ref="A3:B3"/>
    <mergeCell ref="A4:B4"/>
    <mergeCell ref="A5:B5"/>
    <mergeCell ref="A6:B6"/>
    <mergeCell ref="A7:B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4" workbookViewId="0">
      <selection activeCell="A8" sqref="A8"/>
    </sheetView>
  </sheetViews>
  <sheetFormatPr baseColWidth="10" defaultRowHeight="15" x14ac:dyDescent="0.25"/>
  <cols>
    <col min="1" max="1" width="35.28515625" customWidth="1"/>
    <col min="2" max="2" width="13.140625" style="247" bestFit="1" customWidth="1"/>
    <col min="3" max="3" width="21.140625" style="247" customWidth="1"/>
    <col min="4" max="4" width="5.85546875" style="247" customWidth="1"/>
    <col min="5" max="5" width="13.5703125" style="248" customWidth="1"/>
    <col min="6" max="6" width="13.140625" style="247" customWidth="1"/>
    <col min="7" max="7" width="12.7109375" style="247" bestFit="1" customWidth="1"/>
    <col min="8" max="8" width="15.7109375" style="247" customWidth="1"/>
    <col min="9" max="9" width="14.42578125" style="247" customWidth="1"/>
    <col min="10" max="11" width="11.42578125" style="247"/>
    <col min="12" max="12" width="15.28515625" style="247" customWidth="1"/>
    <col min="13" max="14" width="11.42578125" style="247"/>
    <col min="15" max="15" width="14.7109375" style="247" customWidth="1"/>
    <col min="16" max="18" width="11.42578125" style="247"/>
  </cols>
  <sheetData>
    <row r="1" spans="1:17" customFormat="1" x14ac:dyDescent="0.25">
      <c r="B1" s="247"/>
      <c r="C1" s="247"/>
      <c r="D1" s="247"/>
      <c r="E1" s="248">
        <f>+B6*2</f>
        <v>1300000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</row>
    <row r="2" spans="1:17" customFormat="1" ht="45" x14ac:dyDescent="0.25">
      <c r="B2" s="249" t="s">
        <v>264</v>
      </c>
      <c r="C2" s="249" t="s">
        <v>265</v>
      </c>
      <c r="D2" s="249"/>
      <c r="E2" s="247" t="s">
        <v>266</v>
      </c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</row>
    <row r="3" spans="1:17" customFormat="1" x14ac:dyDescent="0.25">
      <c r="B3" s="247">
        <v>566700</v>
      </c>
      <c r="C3" s="247">
        <v>67800</v>
      </c>
      <c r="D3" s="247"/>
      <c r="E3" s="248" t="s">
        <v>267</v>
      </c>
      <c r="F3" s="247"/>
      <c r="G3" s="247"/>
      <c r="H3" s="247"/>
      <c r="I3" s="247"/>
      <c r="J3" s="247"/>
      <c r="K3" s="247"/>
      <c r="L3" s="247"/>
      <c r="M3" s="247" t="s">
        <v>268</v>
      </c>
      <c r="N3" s="247"/>
      <c r="O3" s="247"/>
      <c r="P3" s="247"/>
      <c r="Q3" s="247"/>
    </row>
    <row r="4" spans="1:17" customFormat="1" x14ac:dyDescent="0.25">
      <c r="B4" s="247"/>
      <c r="C4" s="247"/>
      <c r="D4" s="247"/>
      <c r="E4" s="248"/>
      <c r="F4" s="247"/>
      <c r="G4" s="247"/>
      <c r="H4" s="247"/>
      <c r="I4" s="247"/>
      <c r="J4" s="247"/>
      <c r="K4" s="247"/>
      <c r="L4" s="247"/>
      <c r="M4" s="250" t="s">
        <v>269</v>
      </c>
      <c r="N4" s="251"/>
      <c r="O4" s="252"/>
      <c r="P4" s="247"/>
      <c r="Q4" s="247"/>
    </row>
    <row r="5" spans="1:17" customFormat="1" ht="45" x14ac:dyDescent="0.25">
      <c r="A5" s="142"/>
      <c r="B5" s="253"/>
      <c r="C5" s="253"/>
      <c r="D5" s="247"/>
      <c r="E5" s="254" t="s">
        <v>270</v>
      </c>
      <c r="F5" s="255" t="s">
        <v>271</v>
      </c>
      <c r="G5" s="255" t="s">
        <v>272</v>
      </c>
      <c r="H5" s="255" t="s">
        <v>273</v>
      </c>
      <c r="I5" s="255" t="s">
        <v>274</v>
      </c>
      <c r="J5" s="255" t="s">
        <v>275</v>
      </c>
      <c r="K5" s="255" t="s">
        <v>276</v>
      </c>
      <c r="L5" s="255" t="s">
        <v>277</v>
      </c>
      <c r="M5" s="255" t="s">
        <v>278</v>
      </c>
      <c r="N5" s="255" t="s">
        <v>279</v>
      </c>
      <c r="O5" s="255" t="s">
        <v>280</v>
      </c>
      <c r="P5" s="255" t="s">
        <v>281</v>
      </c>
      <c r="Q5" s="255" t="s">
        <v>282</v>
      </c>
    </row>
    <row r="6" spans="1:17" customFormat="1" x14ac:dyDescent="0.25">
      <c r="A6" s="142" t="s">
        <v>283</v>
      </c>
      <c r="B6" s="253">
        <v>650000</v>
      </c>
      <c r="C6" s="253">
        <f>IF(B6&gt;($B$3*2),0,$C$3)</f>
        <v>67800</v>
      </c>
      <c r="D6" s="247"/>
      <c r="E6" s="256">
        <v>30</v>
      </c>
      <c r="F6" s="253">
        <f>(B6/30)*E6</f>
        <v>650000</v>
      </c>
      <c r="G6" s="253">
        <f>(C6/30*E6)</f>
        <v>67800</v>
      </c>
      <c r="H6" s="253">
        <v>0</v>
      </c>
      <c r="I6" s="253">
        <f>(B6/240*1.25*H6)</f>
        <v>0</v>
      </c>
      <c r="J6" s="253">
        <v>0</v>
      </c>
      <c r="K6" s="253">
        <f>(B6/240)*35%*J6</f>
        <v>0</v>
      </c>
      <c r="L6" s="253">
        <f>+F6+G6+I6+K6</f>
        <v>717800</v>
      </c>
      <c r="M6" s="253">
        <f>((F6+I6+K6)*4%)</f>
        <v>26000</v>
      </c>
      <c r="N6" s="253">
        <f>((F6+I6+K6)*4%)</f>
        <v>26000</v>
      </c>
      <c r="O6" s="253">
        <v>0</v>
      </c>
      <c r="P6" s="253">
        <f>+M6+N6+O6</f>
        <v>52000</v>
      </c>
      <c r="Q6" s="253">
        <f>+L6-P6</f>
        <v>665800</v>
      </c>
    </row>
    <row r="7" spans="1:17" customFormat="1" x14ac:dyDescent="0.25">
      <c r="A7" s="257" t="s">
        <v>284</v>
      </c>
      <c r="B7" s="253">
        <v>3500000</v>
      </c>
      <c r="C7" s="253">
        <f>IF(B7&gt;($B$3*2),0,$C$3)</f>
        <v>0</v>
      </c>
      <c r="D7" s="247"/>
      <c r="E7" s="256">
        <v>30</v>
      </c>
      <c r="F7" s="253">
        <f>(B7/30)*E7</f>
        <v>3500000</v>
      </c>
      <c r="G7" s="253">
        <f t="shared" ref="G7:G11" si="0">(C7/30*E7)</f>
        <v>0</v>
      </c>
      <c r="H7" s="253"/>
      <c r="I7" s="253">
        <v>0</v>
      </c>
      <c r="J7" s="253"/>
      <c r="K7" s="253">
        <v>0</v>
      </c>
      <c r="L7" s="253">
        <f t="shared" ref="L7:L11" si="1">+F7+G7+I7+K7</f>
        <v>3500000</v>
      </c>
      <c r="M7" s="253">
        <f t="shared" ref="M7:M11" si="2">((F7+I7+K7)*4%)</f>
        <v>140000</v>
      </c>
      <c r="N7" s="253">
        <f t="shared" ref="N7:N11" si="3">((F7+I7+K7)*4%)</f>
        <v>140000</v>
      </c>
      <c r="O7" s="253">
        <f>B7*1%</f>
        <v>35000</v>
      </c>
      <c r="P7" s="253">
        <f t="shared" ref="P7:P11" si="4">+M7+N7+O7</f>
        <v>315000</v>
      </c>
      <c r="Q7" s="253">
        <f t="shared" ref="Q7:Q11" si="5">+L7-P7</f>
        <v>3185000</v>
      </c>
    </row>
    <row r="8" spans="1:17" customFormat="1" x14ac:dyDescent="0.25">
      <c r="A8" s="142" t="s">
        <v>285</v>
      </c>
      <c r="B8" s="253">
        <v>1500000</v>
      </c>
      <c r="C8" s="253">
        <f t="shared" ref="C8:C11" si="6">IF(B8&gt;($B$3*2),0,$C$3)</f>
        <v>0</v>
      </c>
      <c r="D8" s="247"/>
      <c r="E8" s="256">
        <v>20</v>
      </c>
      <c r="F8" s="253">
        <f t="shared" ref="F8:F11" si="7">(B8/30)*E8</f>
        <v>1000000</v>
      </c>
      <c r="G8" s="253">
        <f t="shared" si="0"/>
        <v>0</v>
      </c>
      <c r="H8" s="253"/>
      <c r="I8" s="253">
        <v>0</v>
      </c>
      <c r="J8" s="253"/>
      <c r="K8" s="253">
        <v>0</v>
      </c>
      <c r="L8" s="253">
        <f t="shared" si="1"/>
        <v>1000000</v>
      </c>
      <c r="M8" s="253">
        <f t="shared" si="2"/>
        <v>40000</v>
      </c>
      <c r="N8" s="253">
        <f t="shared" si="3"/>
        <v>40000</v>
      </c>
      <c r="O8" s="253">
        <v>0</v>
      </c>
      <c r="P8" s="253">
        <f t="shared" si="4"/>
        <v>80000</v>
      </c>
      <c r="Q8" s="253">
        <f t="shared" si="5"/>
        <v>920000</v>
      </c>
    </row>
    <row r="9" spans="1:17" customFormat="1" x14ac:dyDescent="0.25">
      <c r="A9" s="257" t="s">
        <v>286</v>
      </c>
      <c r="B9" s="253">
        <v>1500000</v>
      </c>
      <c r="C9" s="253">
        <f t="shared" si="6"/>
        <v>0</v>
      </c>
      <c r="D9" s="247"/>
      <c r="E9" s="256">
        <v>20</v>
      </c>
      <c r="F9" s="253">
        <f t="shared" si="7"/>
        <v>1000000</v>
      </c>
      <c r="G9" s="253">
        <f t="shared" si="0"/>
        <v>0</v>
      </c>
      <c r="H9" s="253"/>
      <c r="I9" s="253">
        <v>0</v>
      </c>
      <c r="J9" s="253"/>
      <c r="K9" s="253">
        <v>0</v>
      </c>
      <c r="L9" s="253">
        <f t="shared" si="1"/>
        <v>1000000</v>
      </c>
      <c r="M9" s="253">
        <f t="shared" si="2"/>
        <v>40000</v>
      </c>
      <c r="N9" s="253">
        <f t="shared" si="3"/>
        <v>40000</v>
      </c>
      <c r="O9" s="253">
        <v>0</v>
      </c>
      <c r="P9" s="253">
        <f t="shared" si="4"/>
        <v>80000</v>
      </c>
      <c r="Q9" s="253">
        <f t="shared" si="5"/>
        <v>920000</v>
      </c>
    </row>
    <row r="10" spans="1:17" customFormat="1" x14ac:dyDescent="0.25">
      <c r="A10" s="257" t="s">
        <v>287</v>
      </c>
      <c r="B10" s="253">
        <v>1500000</v>
      </c>
      <c r="C10" s="253">
        <f t="shared" si="6"/>
        <v>0</v>
      </c>
      <c r="D10" s="247"/>
      <c r="E10" s="256">
        <v>20</v>
      </c>
      <c r="F10" s="253">
        <f t="shared" si="7"/>
        <v>1000000</v>
      </c>
      <c r="G10" s="253">
        <f t="shared" si="0"/>
        <v>0</v>
      </c>
      <c r="H10" s="253"/>
      <c r="I10" s="253">
        <v>0</v>
      </c>
      <c r="J10" s="253"/>
      <c r="K10" s="253">
        <v>0</v>
      </c>
      <c r="L10" s="253">
        <f t="shared" si="1"/>
        <v>1000000</v>
      </c>
      <c r="M10" s="253">
        <f t="shared" si="2"/>
        <v>40000</v>
      </c>
      <c r="N10" s="253">
        <f t="shared" si="3"/>
        <v>40000</v>
      </c>
      <c r="O10" s="253">
        <v>0</v>
      </c>
      <c r="P10" s="253">
        <f t="shared" si="4"/>
        <v>80000</v>
      </c>
      <c r="Q10" s="253">
        <f t="shared" si="5"/>
        <v>920000</v>
      </c>
    </row>
    <row r="11" spans="1:17" customFormat="1" x14ac:dyDescent="0.25">
      <c r="A11" s="257" t="s">
        <v>288</v>
      </c>
      <c r="B11" s="253">
        <v>1000000</v>
      </c>
      <c r="C11" s="253">
        <f t="shared" si="6"/>
        <v>67800</v>
      </c>
      <c r="D11" s="247"/>
      <c r="E11" s="256">
        <v>30</v>
      </c>
      <c r="F11" s="253">
        <f t="shared" si="7"/>
        <v>1000000.0000000001</v>
      </c>
      <c r="G11" s="253">
        <f t="shared" si="0"/>
        <v>67800</v>
      </c>
      <c r="H11" s="253"/>
      <c r="I11" s="253">
        <v>0</v>
      </c>
      <c r="J11" s="253"/>
      <c r="K11" s="253">
        <v>0</v>
      </c>
      <c r="L11" s="253">
        <f t="shared" si="1"/>
        <v>1067800</v>
      </c>
      <c r="M11" s="253">
        <f t="shared" si="2"/>
        <v>40000.000000000007</v>
      </c>
      <c r="N11" s="253">
        <f t="shared" si="3"/>
        <v>40000.000000000007</v>
      </c>
      <c r="O11" s="253">
        <v>0</v>
      </c>
      <c r="P11" s="253">
        <f t="shared" si="4"/>
        <v>80000.000000000015</v>
      </c>
      <c r="Q11" s="253">
        <f t="shared" si="5"/>
        <v>987800</v>
      </c>
    </row>
    <row r="12" spans="1:17" customFormat="1" x14ac:dyDescent="0.25">
      <c r="A12" s="257" t="s">
        <v>289</v>
      </c>
      <c r="B12" s="253">
        <v>700000</v>
      </c>
      <c r="C12" s="253">
        <v>0</v>
      </c>
      <c r="D12" s="247"/>
      <c r="E12" s="256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</row>
    <row r="13" spans="1:17" customFormat="1" x14ac:dyDescent="0.25">
      <c r="A13" s="257" t="s">
        <v>290</v>
      </c>
      <c r="B13" s="253">
        <v>700000</v>
      </c>
      <c r="C13" s="253">
        <v>0</v>
      </c>
      <c r="D13" s="247"/>
      <c r="E13" s="256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</row>
    <row r="14" spans="1:17" customFormat="1" x14ac:dyDescent="0.25">
      <c r="A14" s="257" t="s">
        <v>291</v>
      </c>
      <c r="B14" s="253">
        <v>700000</v>
      </c>
      <c r="C14" s="253">
        <v>0</v>
      </c>
      <c r="D14" s="247"/>
      <c r="E14" s="256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</row>
    <row r="15" spans="1:17" customFormat="1" x14ac:dyDescent="0.25">
      <c r="A15" s="257"/>
      <c r="B15" s="253"/>
      <c r="C15" s="253"/>
      <c r="D15" s="247"/>
      <c r="E15" s="256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</row>
    <row r="16" spans="1:17" customFormat="1" x14ac:dyDescent="0.25">
      <c r="A16" s="257"/>
      <c r="B16" s="253"/>
      <c r="C16" s="253"/>
      <c r="D16" s="247"/>
      <c r="E16" s="256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</row>
    <row r="17" spans="1:17" customFormat="1" x14ac:dyDescent="0.25">
      <c r="A17" s="257"/>
      <c r="B17" s="253"/>
      <c r="C17" s="253"/>
      <c r="D17" s="247"/>
      <c r="E17" s="256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</row>
    <row r="18" spans="1:17" customFormat="1" x14ac:dyDescent="0.25">
      <c r="A18" s="257"/>
      <c r="B18" s="253"/>
      <c r="C18" s="253"/>
      <c r="D18" s="247"/>
      <c r="E18" s="256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</row>
    <row r="20" spans="1:17" customFormat="1" x14ac:dyDescent="0.25">
      <c r="B20" s="247"/>
      <c r="C20" s="247"/>
      <c r="D20" s="247"/>
      <c r="E20" s="258" t="s">
        <v>292</v>
      </c>
      <c r="F20" s="259">
        <f>SUM(F6:F19)</f>
        <v>8150000</v>
      </c>
      <c r="G20" s="259">
        <f t="shared" ref="G20:Q20" si="8">SUM(G6:G19)</f>
        <v>135600</v>
      </c>
      <c r="H20" s="259">
        <f t="shared" si="8"/>
        <v>0</v>
      </c>
      <c r="I20" s="259">
        <f t="shared" si="8"/>
        <v>0</v>
      </c>
      <c r="J20" s="259">
        <f t="shared" si="8"/>
        <v>0</v>
      </c>
      <c r="K20" s="259">
        <f t="shared" si="8"/>
        <v>0</v>
      </c>
      <c r="L20" s="259">
        <f t="shared" si="8"/>
        <v>8285600</v>
      </c>
      <c r="M20" s="259">
        <f t="shared" si="8"/>
        <v>326000</v>
      </c>
      <c r="N20" s="259">
        <f t="shared" si="8"/>
        <v>326000</v>
      </c>
      <c r="O20" s="259">
        <f t="shared" si="8"/>
        <v>35000</v>
      </c>
      <c r="P20" s="259">
        <f t="shared" si="8"/>
        <v>687000</v>
      </c>
      <c r="Q20" s="259">
        <f t="shared" si="8"/>
        <v>7598600</v>
      </c>
    </row>
    <row r="23" spans="1:17" customFormat="1" x14ac:dyDescent="0.25">
      <c r="A23" t="s">
        <v>293</v>
      </c>
      <c r="B23" s="247"/>
      <c r="C23" s="247"/>
      <c r="D23" s="247"/>
      <c r="E23" s="248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</row>
    <row r="24" spans="1:17" customFormat="1" x14ac:dyDescent="0.25">
      <c r="B24" s="247"/>
      <c r="C24" s="247"/>
      <c r="D24" s="247"/>
      <c r="E24" s="248"/>
      <c r="F24" s="247"/>
      <c r="G24" s="247" t="s">
        <v>294</v>
      </c>
      <c r="H24" s="247" t="s">
        <v>295</v>
      </c>
      <c r="I24" s="247" t="s">
        <v>326</v>
      </c>
      <c r="J24" s="247"/>
      <c r="K24" s="247"/>
      <c r="L24" s="247"/>
      <c r="M24" s="247"/>
      <c r="N24" s="247"/>
      <c r="O24" s="247"/>
      <c r="P24" s="247"/>
      <c r="Q24" s="247"/>
    </row>
    <row r="25" spans="1:17" customFormat="1" x14ac:dyDescent="0.25">
      <c r="A25" t="s">
        <v>296</v>
      </c>
      <c r="B25" s="247">
        <f>(F20+I20+K20)*0.522%</f>
        <v>42543</v>
      </c>
      <c r="C25" s="247"/>
      <c r="D25" s="247"/>
      <c r="E25" s="260" t="s">
        <v>297</v>
      </c>
      <c r="F25" s="247"/>
      <c r="G25" s="247">
        <f>+L20</f>
        <v>8285600</v>
      </c>
      <c r="H25" s="247"/>
      <c r="I25" s="247"/>
      <c r="J25" s="247"/>
      <c r="K25" s="247"/>
      <c r="L25" s="247"/>
      <c r="M25" s="247"/>
      <c r="N25" s="247"/>
      <c r="O25" s="247"/>
      <c r="P25" s="247"/>
      <c r="Q25" s="247"/>
    </row>
    <row r="26" spans="1:17" customFormat="1" x14ac:dyDescent="0.25">
      <c r="B26" s="247"/>
      <c r="C26" s="247"/>
      <c r="D26" s="247"/>
      <c r="E26" s="260" t="s">
        <v>298</v>
      </c>
      <c r="F26" s="247"/>
      <c r="G26" s="261">
        <f>SUM(B12:B14)</f>
        <v>2100000</v>
      </c>
      <c r="H26" s="247"/>
      <c r="I26" s="247"/>
      <c r="J26" s="247"/>
      <c r="K26" s="247"/>
      <c r="L26" s="247"/>
      <c r="M26" s="247"/>
      <c r="N26" s="247"/>
      <c r="O26" s="247"/>
      <c r="P26" s="247"/>
      <c r="Q26" s="247"/>
    </row>
    <row r="27" spans="1:17" customFormat="1" x14ac:dyDescent="0.25">
      <c r="A27" t="s">
        <v>299</v>
      </c>
      <c r="B27" s="247"/>
      <c r="C27" s="247"/>
      <c r="D27" s="247"/>
      <c r="E27" s="260" t="s">
        <v>300</v>
      </c>
      <c r="F27" s="247"/>
      <c r="G27" s="247">
        <v>6000000</v>
      </c>
      <c r="H27" s="247"/>
      <c r="I27" s="247"/>
      <c r="J27" s="247"/>
      <c r="K27" s="247"/>
      <c r="L27" s="247"/>
      <c r="M27" s="247"/>
      <c r="N27" s="247"/>
      <c r="O27" s="247"/>
      <c r="P27" s="247"/>
      <c r="Q27" s="247"/>
    </row>
    <row r="28" spans="1:17" customFormat="1" x14ac:dyDescent="0.25">
      <c r="A28" t="s">
        <v>301</v>
      </c>
      <c r="B28" s="247">
        <f>(F20+I20+K20)*4%</f>
        <v>326000</v>
      </c>
      <c r="C28" s="247"/>
      <c r="D28" s="247"/>
      <c r="E28" s="248" t="s">
        <v>302</v>
      </c>
      <c r="F28" s="247"/>
      <c r="G28" s="247">
        <f>SUM(B28:B30)</f>
        <v>733500</v>
      </c>
      <c r="H28" s="247"/>
      <c r="I28" s="247"/>
      <c r="J28" s="247"/>
      <c r="K28" s="247"/>
      <c r="L28" s="247"/>
      <c r="M28" s="247"/>
      <c r="N28" s="247"/>
      <c r="O28" s="247"/>
      <c r="P28" s="247"/>
      <c r="Q28" s="247"/>
    </row>
    <row r="29" spans="1:17" customFormat="1" x14ac:dyDescent="0.25">
      <c r="A29" t="s">
        <v>303</v>
      </c>
      <c r="B29" s="247">
        <f>(F20+I20+K20)*2%</f>
        <v>163000</v>
      </c>
      <c r="C29" s="247"/>
      <c r="D29" s="247"/>
      <c r="E29" s="248" t="s">
        <v>304</v>
      </c>
      <c r="F29" s="247"/>
      <c r="G29" s="247"/>
      <c r="H29" s="247">
        <f>SUM(C34:C37)*12</f>
        <v>21349740</v>
      </c>
      <c r="I29" s="247">
        <f>SUM(C34:C37)</f>
        <v>1779145</v>
      </c>
      <c r="J29" s="247"/>
      <c r="K29" s="247"/>
      <c r="L29" s="247"/>
      <c r="M29" s="247"/>
      <c r="N29" s="247"/>
      <c r="O29" s="247"/>
      <c r="P29" s="247"/>
      <c r="Q29" s="247"/>
    </row>
    <row r="30" spans="1:17" customFormat="1" x14ac:dyDescent="0.25">
      <c r="A30" t="s">
        <v>305</v>
      </c>
      <c r="B30" s="247">
        <f>(F20+I20+K20)*3%</f>
        <v>244500</v>
      </c>
      <c r="C30" s="262"/>
      <c r="D30" s="247"/>
      <c r="E30" s="260" t="s">
        <v>306</v>
      </c>
      <c r="F30" s="247"/>
      <c r="G30" s="247">
        <f>+B25</f>
        <v>42543</v>
      </c>
      <c r="H30" s="247"/>
      <c r="I30" s="247"/>
      <c r="J30" s="247"/>
      <c r="K30" s="247"/>
      <c r="L30" s="247"/>
      <c r="M30" s="247"/>
      <c r="N30" s="247"/>
      <c r="O30" s="247"/>
      <c r="P30" s="247"/>
      <c r="Q30" s="247"/>
    </row>
    <row r="31" spans="1:17" customFormat="1" x14ac:dyDescent="0.25">
      <c r="B31" s="247"/>
      <c r="C31" s="247"/>
      <c r="D31" s="247"/>
      <c r="E31" s="260" t="s">
        <v>316</v>
      </c>
      <c r="F31" s="247"/>
      <c r="G31" s="259">
        <f>SUM(G25:G30)</f>
        <v>17161643</v>
      </c>
      <c r="H31" s="259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17" customFormat="1" x14ac:dyDescent="0.25">
      <c r="B32" s="259">
        <f>SUM(B25:B31)</f>
        <v>776043</v>
      </c>
      <c r="C32" s="247"/>
      <c r="D32" s="247"/>
      <c r="E32" s="260" t="s">
        <v>317</v>
      </c>
      <c r="F32" s="247"/>
      <c r="G32" s="247">
        <f>+G31*12</f>
        <v>205939716</v>
      </c>
      <c r="H32" s="247"/>
      <c r="I32" s="247"/>
      <c r="J32" s="247"/>
      <c r="K32" s="247"/>
      <c r="L32" s="247"/>
      <c r="M32" s="247"/>
      <c r="N32" s="247"/>
      <c r="O32" s="247"/>
      <c r="P32" s="247"/>
      <c r="Q32" s="247"/>
    </row>
    <row r="33" spans="1:9" customFormat="1" x14ac:dyDescent="0.25">
      <c r="A33" t="s">
        <v>25</v>
      </c>
      <c r="B33" s="247"/>
      <c r="C33" s="247"/>
      <c r="D33" s="247"/>
      <c r="E33" s="260" t="s">
        <v>318</v>
      </c>
      <c r="F33" s="247"/>
      <c r="G33" s="247"/>
      <c r="H33" s="263">
        <f>+G32+H29</f>
        <v>227289456</v>
      </c>
      <c r="I33" s="264"/>
    </row>
    <row r="34" spans="1:9" customFormat="1" x14ac:dyDescent="0.25">
      <c r="A34" s="265" t="s">
        <v>307</v>
      </c>
      <c r="B34" s="266">
        <v>8.3299999999999999E-2</v>
      </c>
      <c r="C34" s="247">
        <f>+$F$20*B34</f>
        <v>678895</v>
      </c>
      <c r="D34" s="247"/>
      <c r="E34" s="248" t="s">
        <v>308</v>
      </c>
      <c r="F34" s="247"/>
      <c r="G34" s="267">
        <v>0.04</v>
      </c>
      <c r="H34" s="247">
        <f>+H33*G34</f>
        <v>9091578.2400000002</v>
      </c>
      <c r="I34" s="247"/>
    </row>
    <row r="35" spans="1:9" customFormat="1" x14ac:dyDescent="0.25">
      <c r="A35" s="265" t="s">
        <v>309</v>
      </c>
      <c r="B35" s="266">
        <v>8.3299999999999999E-2</v>
      </c>
      <c r="C35" s="247">
        <f>+$F$20*B35</f>
        <v>678895</v>
      </c>
      <c r="D35" s="247"/>
      <c r="E35" s="260" t="s">
        <v>310</v>
      </c>
      <c r="F35" s="247"/>
      <c r="G35" s="247"/>
      <c r="H35" s="247">
        <f>SUM(H33:H34)</f>
        <v>236381034.24000001</v>
      </c>
      <c r="I35" s="247"/>
    </row>
    <row r="36" spans="1:9" customFormat="1" x14ac:dyDescent="0.25">
      <c r="A36" s="265" t="s">
        <v>311</v>
      </c>
      <c r="B36" s="266">
        <v>4.1700000000000001E-2</v>
      </c>
      <c r="C36" s="247">
        <f>+$F$20*B36</f>
        <v>339855</v>
      </c>
      <c r="D36" s="247"/>
      <c r="E36" s="248" t="s">
        <v>312</v>
      </c>
      <c r="F36" s="247"/>
      <c r="G36" s="267">
        <v>0.05</v>
      </c>
      <c r="H36" s="247">
        <f>+H35*G36</f>
        <v>11819051.712000001</v>
      </c>
      <c r="I36" s="247"/>
    </row>
    <row r="37" spans="1:9" customFormat="1" x14ac:dyDescent="0.25">
      <c r="A37" s="265" t="s">
        <v>313</v>
      </c>
      <c r="B37" s="267">
        <v>0.01</v>
      </c>
      <c r="C37" s="247">
        <f>+$F$20*B37</f>
        <v>81500</v>
      </c>
      <c r="D37" s="247"/>
      <c r="E37" s="260" t="s">
        <v>314</v>
      </c>
      <c r="F37" s="247"/>
      <c r="G37" s="247"/>
      <c r="H37" s="247">
        <f>SUM(H35:H36)</f>
        <v>248200085.95200002</v>
      </c>
      <c r="I37" s="247"/>
    </row>
    <row r="39" spans="1:9" customFormat="1" x14ac:dyDescent="0.25">
      <c r="B39" s="247"/>
      <c r="C39" s="247"/>
      <c r="D39" s="247"/>
      <c r="E39" s="260" t="s">
        <v>315</v>
      </c>
      <c r="F39" s="247"/>
      <c r="G39" s="247"/>
      <c r="H39" s="247">
        <f>+H37+H35+H33</f>
        <v>711870576.19200003</v>
      </c>
      <c r="I39" s="24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C20" sqref="C20"/>
    </sheetView>
  </sheetViews>
  <sheetFormatPr baseColWidth="10" defaultRowHeight="15" x14ac:dyDescent="0.25"/>
  <cols>
    <col min="1" max="1" width="30.85546875" customWidth="1"/>
    <col min="2" max="2" width="10.28515625" customWidth="1"/>
    <col min="3" max="3" width="17.42578125" style="136" customWidth="1"/>
    <col min="4" max="4" width="18.28515625" customWidth="1"/>
    <col min="6" max="6" width="34.42578125" customWidth="1"/>
    <col min="7" max="7" width="13.7109375" customWidth="1"/>
    <col min="8" max="8" width="18.28515625" style="150" customWidth="1"/>
    <col min="9" max="9" width="18" customWidth="1"/>
  </cols>
  <sheetData>
    <row r="1" spans="1:9" ht="24" thickBot="1" x14ac:dyDescent="0.4">
      <c r="A1" s="329" t="s">
        <v>180</v>
      </c>
      <c r="B1" s="329"/>
      <c r="C1" s="329"/>
      <c r="D1" s="329"/>
      <c r="E1" s="329"/>
      <c r="F1" s="329"/>
      <c r="G1" s="329"/>
      <c r="H1" s="329"/>
      <c r="I1" s="329"/>
    </row>
    <row r="2" spans="1:9" ht="19.5" thickBot="1" x14ac:dyDescent="0.35">
      <c r="A2" s="313" t="s">
        <v>48</v>
      </c>
      <c r="B2" s="328"/>
      <c r="C2" s="328"/>
      <c r="D2" s="314"/>
      <c r="F2" s="313" t="s">
        <v>49</v>
      </c>
      <c r="G2" s="328"/>
      <c r="H2" s="328"/>
      <c r="I2" s="314"/>
    </row>
    <row r="3" spans="1:9" ht="15.75" thickBot="1" x14ac:dyDescent="0.3">
      <c r="A3" s="145" t="s">
        <v>170</v>
      </c>
      <c r="B3" s="146" t="s">
        <v>171</v>
      </c>
      <c r="C3" s="148" t="s">
        <v>172</v>
      </c>
      <c r="D3" s="147" t="s">
        <v>173</v>
      </c>
      <c r="F3" s="145" t="s">
        <v>170</v>
      </c>
      <c r="G3" s="146" t="s">
        <v>171</v>
      </c>
      <c r="H3" s="151" t="s">
        <v>172</v>
      </c>
      <c r="I3" s="147" t="s">
        <v>173</v>
      </c>
    </row>
    <row r="4" spans="1:9" x14ac:dyDescent="0.25">
      <c r="A4" s="153" t="s">
        <v>33</v>
      </c>
      <c r="B4" s="154">
        <v>1</v>
      </c>
      <c r="C4" s="162">
        <v>190000</v>
      </c>
      <c r="D4" s="156">
        <f t="shared" ref="D4:D11" si="0">+C4*B4</f>
        <v>190000</v>
      </c>
      <c r="F4" s="153" t="s">
        <v>33</v>
      </c>
      <c r="G4" s="154">
        <v>1</v>
      </c>
      <c r="H4" s="155">
        <v>190000</v>
      </c>
      <c r="I4" s="156">
        <f t="shared" ref="I4:I11" si="1">+H4*G4</f>
        <v>190000</v>
      </c>
    </row>
    <row r="5" spans="1:9" x14ac:dyDescent="0.25">
      <c r="A5" s="157" t="s">
        <v>35</v>
      </c>
      <c r="B5" s="142">
        <v>1</v>
      </c>
      <c r="C5" s="149">
        <v>280000</v>
      </c>
      <c r="D5" s="21">
        <f t="shared" si="0"/>
        <v>280000</v>
      </c>
      <c r="F5" s="157" t="s">
        <v>35</v>
      </c>
      <c r="G5" s="142">
        <v>3</v>
      </c>
      <c r="H5" s="152">
        <v>280000</v>
      </c>
      <c r="I5" s="21">
        <f t="shared" si="1"/>
        <v>840000</v>
      </c>
    </row>
    <row r="6" spans="1:9" x14ac:dyDescent="0.25">
      <c r="A6" s="157" t="s">
        <v>34</v>
      </c>
      <c r="B6" s="142">
        <v>2</v>
      </c>
      <c r="C6" s="149">
        <v>70000</v>
      </c>
      <c r="D6" s="21">
        <f t="shared" si="0"/>
        <v>140000</v>
      </c>
      <c r="F6" s="157" t="s">
        <v>34</v>
      </c>
      <c r="G6" s="142">
        <v>8</v>
      </c>
      <c r="H6" s="152">
        <v>70000</v>
      </c>
      <c r="I6" s="21">
        <f t="shared" si="1"/>
        <v>560000</v>
      </c>
    </row>
    <row r="7" spans="1:9" x14ac:dyDescent="0.25">
      <c r="A7" s="157" t="s">
        <v>36</v>
      </c>
      <c r="B7" s="142">
        <v>0</v>
      </c>
      <c r="C7" s="149">
        <v>1000000</v>
      </c>
      <c r="D7" s="21">
        <f t="shared" si="0"/>
        <v>0</v>
      </c>
      <c r="F7" s="157" t="s">
        <v>36</v>
      </c>
      <c r="G7" s="142">
        <v>3</v>
      </c>
      <c r="H7" s="152">
        <v>1000000</v>
      </c>
      <c r="I7" s="21">
        <f t="shared" si="1"/>
        <v>3000000</v>
      </c>
    </row>
    <row r="8" spans="1:9" x14ac:dyDescent="0.25">
      <c r="A8" s="157" t="s">
        <v>37</v>
      </c>
      <c r="B8" s="142">
        <v>1</v>
      </c>
      <c r="C8" s="149">
        <v>200000</v>
      </c>
      <c r="D8" s="21">
        <f t="shared" si="0"/>
        <v>200000</v>
      </c>
      <c r="F8" s="157" t="s">
        <v>37</v>
      </c>
      <c r="G8" s="142">
        <v>1</v>
      </c>
      <c r="H8" s="152">
        <v>200000</v>
      </c>
      <c r="I8" s="21">
        <f t="shared" si="1"/>
        <v>200000</v>
      </c>
    </row>
    <row r="9" spans="1:9" x14ac:dyDescent="0.25">
      <c r="A9" s="157" t="s">
        <v>38</v>
      </c>
      <c r="B9" s="142">
        <v>1</v>
      </c>
      <c r="C9" s="149">
        <v>1200000</v>
      </c>
      <c r="D9" s="21">
        <f t="shared" si="0"/>
        <v>1200000</v>
      </c>
      <c r="F9" s="157" t="s">
        <v>38</v>
      </c>
      <c r="G9" s="142">
        <v>0</v>
      </c>
      <c r="H9" s="152">
        <v>1200000</v>
      </c>
      <c r="I9" s="21">
        <f t="shared" si="1"/>
        <v>0</v>
      </c>
    </row>
    <row r="10" spans="1:9" x14ac:dyDescent="0.25">
      <c r="A10" s="157" t="s">
        <v>39</v>
      </c>
      <c r="B10" s="142">
        <v>1</v>
      </c>
      <c r="C10" s="149">
        <v>600000</v>
      </c>
      <c r="D10" s="21">
        <f t="shared" si="0"/>
        <v>600000</v>
      </c>
      <c r="F10" s="157" t="s">
        <v>39</v>
      </c>
      <c r="G10" s="142">
        <v>0</v>
      </c>
      <c r="H10" s="152">
        <v>600000</v>
      </c>
      <c r="I10" s="21">
        <f t="shared" si="1"/>
        <v>0</v>
      </c>
    </row>
    <row r="11" spans="1:9" x14ac:dyDescent="0.25">
      <c r="A11" s="157" t="s">
        <v>174</v>
      </c>
      <c r="B11" s="142">
        <v>1</v>
      </c>
      <c r="C11" s="149">
        <v>400000</v>
      </c>
      <c r="D11" s="21">
        <f t="shared" si="0"/>
        <v>400000</v>
      </c>
      <c r="F11" s="157" t="s">
        <v>40</v>
      </c>
      <c r="G11" s="142">
        <v>1</v>
      </c>
      <c r="H11" s="152">
        <v>130000</v>
      </c>
      <c r="I11" s="21">
        <f t="shared" si="1"/>
        <v>130000</v>
      </c>
    </row>
    <row r="12" spans="1:9" x14ac:dyDescent="0.25">
      <c r="A12" s="157" t="s">
        <v>41</v>
      </c>
      <c r="B12" s="142">
        <v>1</v>
      </c>
      <c r="C12" s="149">
        <v>1100000</v>
      </c>
      <c r="D12" s="21">
        <f t="shared" ref="D12:D19" si="2">+C12*B12</f>
        <v>1100000</v>
      </c>
      <c r="F12" s="157" t="s">
        <v>41</v>
      </c>
      <c r="G12" s="142">
        <v>0</v>
      </c>
      <c r="H12" s="152">
        <v>1100000</v>
      </c>
      <c r="I12" s="21">
        <f t="shared" ref="I12:I17" si="3">+H12*G12</f>
        <v>0</v>
      </c>
    </row>
    <row r="13" spans="1:9" x14ac:dyDescent="0.25">
      <c r="A13" s="157" t="s">
        <v>42</v>
      </c>
      <c r="B13" s="142">
        <v>1</v>
      </c>
      <c r="C13" s="149">
        <v>700000</v>
      </c>
      <c r="D13" s="21">
        <f t="shared" si="2"/>
        <v>700000</v>
      </c>
      <c r="F13" s="157" t="s">
        <v>42</v>
      </c>
      <c r="G13" s="142">
        <v>1</v>
      </c>
      <c r="H13" s="152">
        <v>700000</v>
      </c>
      <c r="I13" s="21">
        <f t="shared" si="3"/>
        <v>700000</v>
      </c>
    </row>
    <row r="14" spans="1:9" x14ac:dyDescent="0.25">
      <c r="A14" s="157" t="s">
        <v>43</v>
      </c>
      <c r="B14" s="142">
        <v>1</v>
      </c>
      <c r="C14" s="149">
        <v>100000</v>
      </c>
      <c r="D14" s="21">
        <f t="shared" si="2"/>
        <v>100000</v>
      </c>
      <c r="F14" s="157" t="s">
        <v>43</v>
      </c>
      <c r="G14" s="142">
        <v>1</v>
      </c>
      <c r="H14" s="152">
        <v>100000</v>
      </c>
      <c r="I14" s="21">
        <f t="shared" si="3"/>
        <v>100000</v>
      </c>
    </row>
    <row r="15" spans="1:9" x14ac:dyDescent="0.25">
      <c r="A15" s="157" t="s">
        <v>44</v>
      </c>
      <c r="B15" s="142">
        <v>1</v>
      </c>
      <c r="C15" s="149">
        <v>120000</v>
      </c>
      <c r="D15" s="21">
        <f t="shared" si="2"/>
        <v>120000</v>
      </c>
      <c r="F15" s="157" t="s">
        <v>44</v>
      </c>
      <c r="G15" s="142">
        <v>1</v>
      </c>
      <c r="H15" s="152">
        <v>120000</v>
      </c>
      <c r="I15" s="21">
        <f t="shared" si="3"/>
        <v>120000</v>
      </c>
    </row>
    <row r="16" spans="1:9" x14ac:dyDescent="0.25">
      <c r="A16" s="157" t="s">
        <v>46</v>
      </c>
      <c r="B16" s="142">
        <v>2</v>
      </c>
      <c r="C16" s="149">
        <v>200000</v>
      </c>
      <c r="D16" s="21">
        <f t="shared" si="2"/>
        <v>400000</v>
      </c>
      <c r="F16" s="157" t="s">
        <v>46</v>
      </c>
      <c r="G16" s="142">
        <v>2</v>
      </c>
      <c r="H16" s="152">
        <v>200000</v>
      </c>
      <c r="I16" s="21">
        <f t="shared" si="3"/>
        <v>400000</v>
      </c>
    </row>
    <row r="17" spans="1:9" ht="15.75" thickBot="1" x14ac:dyDescent="0.3">
      <c r="A17" s="157" t="s">
        <v>45</v>
      </c>
      <c r="B17" s="142">
        <v>1</v>
      </c>
      <c r="C17" s="149">
        <v>200000</v>
      </c>
      <c r="D17" s="21">
        <f t="shared" si="2"/>
        <v>200000</v>
      </c>
      <c r="F17" s="158" t="s">
        <v>45</v>
      </c>
      <c r="G17" s="159">
        <v>2</v>
      </c>
      <c r="H17" s="160">
        <v>200000</v>
      </c>
      <c r="I17" s="161">
        <f t="shared" si="3"/>
        <v>400000</v>
      </c>
    </row>
    <row r="18" spans="1:9" ht="15.75" thickBot="1" x14ac:dyDescent="0.3">
      <c r="A18" s="158" t="s">
        <v>175</v>
      </c>
      <c r="B18" s="159">
        <v>1</v>
      </c>
      <c r="C18" s="163">
        <v>50000</v>
      </c>
      <c r="D18" s="161">
        <f t="shared" si="2"/>
        <v>50000</v>
      </c>
      <c r="F18" s="158" t="s">
        <v>179</v>
      </c>
      <c r="G18" s="159" t="s">
        <v>179</v>
      </c>
      <c r="H18" s="160" t="s">
        <v>179</v>
      </c>
      <c r="I18" s="161" t="s">
        <v>179</v>
      </c>
    </row>
    <row r="19" spans="1:9" ht="15.75" thickBot="1" x14ac:dyDescent="0.3">
      <c r="A19" s="158" t="s">
        <v>320</v>
      </c>
      <c r="B19" s="159">
        <v>1</v>
      </c>
      <c r="C19" s="163">
        <v>15000000</v>
      </c>
      <c r="D19" s="161">
        <f t="shared" si="2"/>
        <v>15000000</v>
      </c>
      <c r="F19" s="158"/>
      <c r="G19" s="159"/>
      <c r="H19" s="160"/>
      <c r="I19" s="161"/>
    </row>
    <row r="20" spans="1:9" ht="15.75" thickBot="1" x14ac:dyDescent="0.3">
      <c r="A20" s="158" t="s">
        <v>178</v>
      </c>
      <c r="B20" s="159">
        <v>1</v>
      </c>
      <c r="C20" s="163">
        <v>75000000</v>
      </c>
      <c r="D20" s="161">
        <f t="shared" ref="D20" si="4">+C20*B20</f>
        <v>75000000</v>
      </c>
      <c r="F20" s="158"/>
      <c r="G20" s="159"/>
      <c r="H20" s="163"/>
      <c r="I20" s="161"/>
    </row>
    <row r="21" spans="1:9" x14ac:dyDescent="0.25">
      <c r="A21" s="18"/>
      <c r="B21" s="18"/>
      <c r="C21" s="169"/>
      <c r="D21" s="170"/>
      <c r="F21" s="18"/>
      <c r="G21" s="18"/>
      <c r="H21" s="171"/>
      <c r="I21" s="170"/>
    </row>
    <row r="22" spans="1:9" ht="15.75" thickBot="1" x14ac:dyDescent="0.3"/>
    <row r="23" spans="1:9" s="144" customFormat="1" ht="19.5" thickBot="1" x14ac:dyDescent="0.35">
      <c r="A23" s="164" t="s">
        <v>176</v>
      </c>
      <c r="B23" s="165"/>
      <c r="C23" s="166"/>
      <c r="D23" s="167">
        <f>SUM(D4:D22)</f>
        <v>95680000</v>
      </c>
      <c r="F23" s="164" t="s">
        <v>177</v>
      </c>
      <c r="G23" s="165"/>
      <c r="H23" s="168"/>
      <c r="I23" s="167">
        <f>SUM(I4:I22)</f>
        <v>6640000</v>
      </c>
    </row>
    <row r="26" spans="1:9" s="181" customFormat="1" x14ac:dyDescent="0.25">
      <c r="A26" s="181" t="s">
        <v>322</v>
      </c>
      <c r="C26" s="271"/>
      <c r="D26" s="179">
        <f>+D4+D5+D6+D10+D11+D12+D13+D14+D15+D18+D19</f>
        <v>18680000</v>
      </c>
      <c r="H26" s="272"/>
      <c r="I26" s="179">
        <f>+I4+I5+I6+I11+I13+I14+I15</f>
        <v>2640000</v>
      </c>
    </row>
    <row r="27" spans="1:9" s="181" customFormat="1" x14ac:dyDescent="0.25">
      <c r="A27" s="181" t="s">
        <v>323</v>
      </c>
      <c r="C27" s="271"/>
      <c r="D27" s="179">
        <f>+D8+D9+D17+D16</f>
        <v>2000000</v>
      </c>
      <c r="H27" s="272"/>
      <c r="I27" s="179">
        <f>+I7+I8+I16+I17</f>
        <v>4000000</v>
      </c>
    </row>
  </sheetData>
  <mergeCells count="3">
    <mergeCell ref="A2:D2"/>
    <mergeCell ref="F2:I2"/>
    <mergeCell ref="A1:I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14" sqref="B14"/>
    </sheetView>
  </sheetViews>
  <sheetFormatPr baseColWidth="10" defaultRowHeight="15" x14ac:dyDescent="0.25"/>
  <cols>
    <col min="1" max="1" width="33.42578125" customWidth="1"/>
    <col min="2" max="2" width="14" customWidth="1"/>
    <col min="3" max="3" width="15.5703125" bestFit="1" customWidth="1"/>
    <col min="5" max="5" width="31.85546875" customWidth="1"/>
    <col min="7" max="7" width="32.28515625" customWidth="1"/>
  </cols>
  <sheetData>
    <row r="1" spans="1:7" x14ac:dyDescent="0.25">
      <c r="A1" s="2"/>
      <c r="B1" s="2"/>
      <c r="C1" s="2"/>
      <c r="E1" s="1"/>
      <c r="G1" s="1"/>
    </row>
    <row r="2" spans="1:7" ht="21" x14ac:dyDescent="0.35">
      <c r="A2" s="9" t="s">
        <v>10</v>
      </c>
      <c r="B2" s="5"/>
      <c r="C2" s="5"/>
    </row>
    <row r="4" spans="1:7" ht="15.75" x14ac:dyDescent="0.25">
      <c r="A4" s="7" t="s">
        <v>52</v>
      </c>
    </row>
    <row r="5" spans="1:7" x14ac:dyDescent="0.25">
      <c r="A5" t="s">
        <v>53</v>
      </c>
      <c r="B5" s="3">
        <f>+NOMINAS!B7</f>
        <v>3500000</v>
      </c>
    </row>
    <row r="6" spans="1:7" x14ac:dyDescent="0.25">
      <c r="A6" t="s">
        <v>54</v>
      </c>
      <c r="B6" s="3">
        <f>+NOMINAS!B11</f>
        <v>1000000</v>
      </c>
    </row>
    <row r="7" spans="1:7" x14ac:dyDescent="0.25">
      <c r="A7" t="s">
        <v>55</v>
      </c>
      <c r="B7" s="3">
        <f>+NOMINAS!B12+NOMINAS!B13+NOMINAS!B14</f>
        <v>2100000</v>
      </c>
    </row>
    <row r="8" spans="1:7" x14ac:dyDescent="0.25">
      <c r="A8" t="s">
        <v>56</v>
      </c>
      <c r="B8" s="3">
        <v>828560</v>
      </c>
    </row>
    <row r="9" spans="1:7" x14ac:dyDescent="0.25">
      <c r="A9" s="10" t="s">
        <v>57</v>
      </c>
      <c r="B9" s="3">
        <f>+NOMINAS!B6</f>
        <v>650000</v>
      </c>
    </row>
    <row r="10" spans="1:7" x14ac:dyDescent="0.25">
      <c r="A10" t="s">
        <v>68</v>
      </c>
      <c r="B10" s="3">
        <v>1000000</v>
      </c>
    </row>
    <row r="11" spans="1:7" x14ac:dyDescent="0.25">
      <c r="A11" t="s">
        <v>59</v>
      </c>
      <c r="B11" s="3">
        <v>1500000</v>
      </c>
    </row>
    <row r="12" spans="1:7" x14ac:dyDescent="0.25">
      <c r="A12" t="s">
        <v>60</v>
      </c>
      <c r="B12" s="3"/>
    </row>
    <row r="13" spans="1:7" x14ac:dyDescent="0.25">
      <c r="A13" t="s">
        <v>66</v>
      </c>
      <c r="B13" s="3">
        <v>733500</v>
      </c>
    </row>
    <row r="14" spans="1:7" x14ac:dyDescent="0.25">
      <c r="A14" t="s">
        <v>67</v>
      </c>
      <c r="B14" s="3"/>
    </row>
    <row r="15" spans="1:7" x14ac:dyDescent="0.25">
      <c r="B15" s="3"/>
    </row>
    <row r="16" spans="1:7" x14ac:dyDescent="0.25">
      <c r="B16" s="3"/>
    </row>
    <row r="17" spans="1:2" x14ac:dyDescent="0.25">
      <c r="B17" s="3"/>
    </row>
    <row r="18" spans="1:2" x14ac:dyDescent="0.25">
      <c r="B18" s="3"/>
    </row>
    <row r="19" spans="1:2" ht="21" x14ac:dyDescent="0.35">
      <c r="A19" s="8" t="s">
        <v>18</v>
      </c>
      <c r="B19" s="3"/>
    </row>
    <row r="20" spans="1:2" x14ac:dyDescent="0.25">
      <c r="B20" s="11"/>
    </row>
    <row r="21" spans="1:2" x14ac:dyDescent="0.25">
      <c r="A21" t="s">
        <v>61</v>
      </c>
      <c r="B21" s="11">
        <v>0</v>
      </c>
    </row>
    <row r="22" spans="1:2" x14ac:dyDescent="0.25">
      <c r="A22" t="s">
        <v>62</v>
      </c>
      <c r="B22">
        <v>0</v>
      </c>
    </row>
    <row r="23" spans="1:2" x14ac:dyDescent="0.25">
      <c r="A23" t="s">
        <v>63</v>
      </c>
    </row>
    <row r="24" spans="1:2" x14ac:dyDescent="0.25">
      <c r="A24" s="6" t="s">
        <v>64</v>
      </c>
      <c r="B24">
        <v>0</v>
      </c>
    </row>
    <row r="25" spans="1:2" x14ac:dyDescent="0.25">
      <c r="A25" t="s">
        <v>58</v>
      </c>
    </row>
    <row r="26" spans="1:2" x14ac:dyDescent="0.25">
      <c r="A26" t="s">
        <v>69</v>
      </c>
    </row>
    <row r="27" spans="1:2" x14ac:dyDescent="0.25">
      <c r="A27" t="s">
        <v>65</v>
      </c>
    </row>
    <row r="28" spans="1:2" x14ac:dyDescent="0.25">
      <c r="A28" t="s">
        <v>67</v>
      </c>
      <c r="B28">
        <v>0</v>
      </c>
    </row>
    <row r="34" spans="3:3" x14ac:dyDescent="0.25">
      <c r="C34" s="3"/>
    </row>
    <row r="35" spans="3:3" x14ac:dyDescent="0.25">
      <c r="C35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PRES-FINAL</vt:lpstr>
      <vt:lpstr>FLUJO DE CAJA</vt:lpstr>
      <vt:lpstr>INGRESO FINANCIERO</vt:lpstr>
      <vt:lpstr>PRESUPUESTO DE VENTAS</vt:lpstr>
      <vt:lpstr>COSTOS DE PAGO DE FLOTA</vt:lpstr>
      <vt:lpstr>GASTOS DE VENTAS</vt:lpstr>
      <vt:lpstr>NOMINAS</vt:lpstr>
      <vt:lpstr>INVENTARIOS</vt:lpstr>
      <vt:lpstr>COSTOS</vt:lpstr>
      <vt:lpstr>P Y G</vt:lpstr>
      <vt:lpstr>costo de mantenimiento de vehic</vt:lpstr>
      <vt:lpstr>'COSTOS DE PAGO DE FLOTA'!Área_de_impresión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cp:lastPrinted>2012-02-28T23:54:40Z</cp:lastPrinted>
  <dcterms:created xsi:type="dcterms:W3CDTF">2012-02-23T22:24:39Z</dcterms:created>
  <dcterms:modified xsi:type="dcterms:W3CDTF">2012-03-09T01:46:04Z</dcterms:modified>
</cp:coreProperties>
</file>