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2"/>
  </bookViews>
  <sheets>
    <sheet name="problema" sheetId="1" r:id="rId1"/>
    <sheet name="calculo" sheetId="2" r:id="rId2"/>
    <sheet name="matriz de costo" sheetId="3" r:id="rId3"/>
  </sheets>
  <calcPr calcId="144525"/>
</workbook>
</file>

<file path=xl/calcChain.xml><?xml version="1.0" encoding="utf-8"?>
<calcChain xmlns="http://schemas.openxmlformats.org/spreadsheetml/2006/main">
  <c r="I4" i="3" l="1"/>
  <c r="I3" i="3" s="1"/>
  <c r="N3" i="3" s="1"/>
  <c r="O3" i="3" s="1"/>
  <c r="O2" i="3"/>
  <c r="M5" i="3"/>
  <c r="O5" i="3" s="1"/>
  <c r="M4" i="3"/>
  <c r="L3" i="3"/>
  <c r="L2" i="3"/>
  <c r="K2" i="3"/>
  <c r="X7" i="2"/>
  <c r="X9" i="2"/>
  <c r="X4" i="2"/>
  <c r="W4" i="2"/>
  <c r="G6" i="2"/>
  <c r="W2" i="2"/>
  <c r="N4" i="3" l="1"/>
  <c r="O4" i="3" s="1"/>
  <c r="L7" i="3"/>
  <c r="X8" i="2"/>
  <c r="X6" i="2"/>
  <c r="X3" i="2"/>
  <c r="Q2" i="2" l="1"/>
  <c r="Q8" i="2" l="1"/>
  <c r="AA8" i="2" s="1"/>
  <c r="AC8" i="2" s="1"/>
  <c r="Q7" i="2"/>
  <c r="Q6" i="2"/>
  <c r="AA6" i="2" s="1"/>
  <c r="AC6" i="2" s="1"/>
  <c r="Q5" i="2"/>
  <c r="Q4" i="2"/>
  <c r="AA4" i="2" s="1"/>
  <c r="AC4" i="2" s="1"/>
  <c r="Q3" i="2"/>
  <c r="E8" i="2"/>
  <c r="E7" i="2"/>
  <c r="AA7" i="2" s="1"/>
  <c r="AC7" i="2" s="1"/>
  <c r="E6" i="2"/>
  <c r="E5" i="2"/>
  <c r="E4" i="2"/>
  <c r="E3" i="2"/>
  <c r="E2" i="2"/>
  <c r="V8" i="2"/>
  <c r="L8" i="2"/>
  <c r="M8" i="2" s="1"/>
  <c r="F8" i="2"/>
  <c r="G8" i="2" s="1"/>
  <c r="K8" i="2"/>
  <c r="F7" i="2"/>
  <c r="G7" i="2" s="1"/>
  <c r="V7" i="2"/>
  <c r="V6" i="2"/>
  <c r="F6" i="2"/>
  <c r="W6" i="2" s="1"/>
  <c r="B6" i="2"/>
  <c r="B5" i="2"/>
  <c r="B3" i="2"/>
  <c r="B2" i="2"/>
  <c r="V4" i="2"/>
  <c r="F4" i="2"/>
  <c r="G4" i="2" s="1"/>
  <c r="R3" i="2"/>
  <c r="S3" i="2" s="1"/>
  <c r="F3" i="2"/>
  <c r="G3" i="2" s="1"/>
  <c r="V3" i="2"/>
  <c r="V5" i="2"/>
  <c r="U5" i="2"/>
  <c r="R5" i="2"/>
  <c r="S5" i="2" s="1"/>
  <c r="F5" i="2"/>
  <c r="L5" i="2"/>
  <c r="M5" i="2" s="1"/>
  <c r="K5" i="2"/>
  <c r="W8" i="2" l="1"/>
  <c r="Y8" i="2" s="1"/>
  <c r="Y6" i="2"/>
  <c r="AA5" i="2"/>
  <c r="AC5" i="2" s="1"/>
  <c r="U2" i="2"/>
  <c r="V2" i="2" s="1"/>
  <c r="L3" i="2" l="1"/>
  <c r="M3" i="2" s="1"/>
  <c r="K2" i="2"/>
  <c r="AA2" i="2" s="1"/>
  <c r="AC2" i="2" s="1"/>
  <c r="K3" i="2"/>
  <c r="AA3" i="2" s="1"/>
  <c r="AC3" i="2" s="1"/>
  <c r="G5" i="2"/>
  <c r="W7" i="2" s="1"/>
  <c r="Y7" i="2" s="1"/>
  <c r="R2" i="2"/>
  <c r="S2" i="2" s="1"/>
  <c r="L2" i="2"/>
  <c r="M2" i="2" s="1"/>
  <c r="F2" i="2" l="1"/>
  <c r="G2" i="2" s="1"/>
  <c r="W3" i="2" s="1"/>
  <c r="Y3" i="2" s="1"/>
  <c r="C31" i="1" l="1"/>
  <c r="C14" i="1"/>
</calcChain>
</file>

<file path=xl/sharedStrings.xml><?xml version="1.0" encoding="utf-8"?>
<sst xmlns="http://schemas.openxmlformats.org/spreadsheetml/2006/main" count="155" uniqueCount="101">
  <si>
    <t>NANCY</t>
  </si>
  <si>
    <t>GUADALAJARA</t>
  </si>
  <si>
    <t>SAO PAULO</t>
  </si>
  <si>
    <t>Oferta en origen de unidades CKD</t>
  </si>
  <si>
    <t>Ciudad origen</t>
  </si>
  <si>
    <t>Pais</t>
  </si>
  <si>
    <t>Francia</t>
  </si>
  <si>
    <t>SEUL</t>
  </si>
  <si>
    <t>RDC</t>
  </si>
  <si>
    <t>Mexico</t>
  </si>
  <si>
    <t>Brasil</t>
  </si>
  <si>
    <t>Cantidad</t>
  </si>
  <si>
    <t>Demanda en destinos</t>
  </si>
  <si>
    <t>MEDELLIN</t>
  </si>
  <si>
    <t>Colombia</t>
  </si>
  <si>
    <t>GUAYAQUIL</t>
  </si>
  <si>
    <t>Ecuador</t>
  </si>
  <si>
    <t>LIMA</t>
  </si>
  <si>
    <t>Peru</t>
  </si>
  <si>
    <t>SANTA CRUZ</t>
  </si>
  <si>
    <t>Bolivia</t>
  </si>
  <si>
    <t>Costo por UND</t>
  </si>
  <si>
    <t>Tabla 1</t>
  </si>
  <si>
    <t>Tabla 2</t>
  </si>
  <si>
    <t>Costo de transporte</t>
  </si>
  <si>
    <t>Modo de transporte</t>
  </si>
  <si>
    <t>Ferreo</t>
  </si>
  <si>
    <t>Europa</t>
  </si>
  <si>
    <t>Corea</t>
  </si>
  <si>
    <t>Sao paulo</t>
  </si>
  <si>
    <t>Terrestre vial</t>
  </si>
  <si>
    <t>Maritimo</t>
  </si>
  <si>
    <t>V/l contenedor X km recorrido</t>
  </si>
  <si>
    <t>Cant de CKD en container</t>
  </si>
  <si>
    <t>40'</t>
  </si>
  <si>
    <t>N/A</t>
  </si>
  <si>
    <t>MXC / COL</t>
  </si>
  <si>
    <t>MXC / ECU</t>
  </si>
  <si>
    <t>MXC / PER</t>
  </si>
  <si>
    <t>Ulsan / COL</t>
  </si>
  <si>
    <t>Ulsan / ECU</t>
  </si>
  <si>
    <t>Ulsan / PER</t>
  </si>
  <si>
    <t>Europa / COL</t>
  </si>
  <si>
    <t>Europa / ECU</t>
  </si>
  <si>
    <t>Europa / PER</t>
  </si>
  <si>
    <t>SAPU / COL</t>
  </si>
  <si>
    <t>SAPU / ECU</t>
  </si>
  <si>
    <t>SAPU / PER</t>
  </si>
  <si>
    <t>Tabla 3</t>
  </si>
  <si>
    <t>NANCY-FR</t>
  </si>
  <si>
    <t>CALAIS-FR</t>
  </si>
  <si>
    <t>PTO_DES</t>
  </si>
  <si>
    <t>CIUDAD_DES</t>
  </si>
  <si>
    <t>PUERTO_ORG</t>
  </si>
  <si>
    <t>MODO_TRANS</t>
  </si>
  <si>
    <t>CIUDAD_ORG</t>
  </si>
  <si>
    <t>KM</t>
  </si>
  <si>
    <t>TIEMPO TOT</t>
  </si>
  <si>
    <t>FERREO</t>
  </si>
  <si>
    <t>CANTIDAD /CONTE</t>
  </si>
  <si>
    <t>V/CONTE/KM</t>
  </si>
  <si>
    <t>SEUL-RDC</t>
  </si>
  <si>
    <t>SANTA MARTA</t>
  </si>
  <si>
    <t>MARITIMO</t>
  </si>
  <si>
    <t>ULSAN/RDC</t>
  </si>
  <si>
    <t>TERRESTRE</t>
  </si>
  <si>
    <t>MANZANILLO</t>
  </si>
  <si>
    <t>COSTO DEL PRODUCTO</t>
  </si>
  <si>
    <t>CANTIDAD DE PRODUCTO</t>
  </si>
  <si>
    <t>CALLAO/PERU</t>
  </si>
  <si>
    <t>LIMA/PERU</t>
  </si>
  <si>
    <t>BUENAVENTURA</t>
  </si>
  <si>
    <t>SAO PABLO</t>
  </si>
  <si>
    <t>CALLAO</t>
  </si>
  <si>
    <t>MEDELLIN / COLOMBIA</t>
  </si>
  <si>
    <t>SANTA CRUZ /BOLIVIA</t>
  </si>
  <si>
    <t>LIMA/PERO</t>
  </si>
  <si>
    <t>TIEMPO TOT/DIAS</t>
  </si>
  <si>
    <t>GUAYAQUIL/ECUADOR</t>
  </si>
  <si>
    <t>DESTINOS</t>
  </si>
  <si>
    <t>TIEMPO TOTAL EN DIAS</t>
  </si>
  <si>
    <t>DIAS DE EMBARQUE</t>
  </si>
  <si>
    <t>TIEMPO TOTAL DE ENTREGA</t>
  </si>
  <si>
    <t>FECHA DESPACHO</t>
  </si>
  <si>
    <t>COATO TOTAL TRANSPORTE POR DESTINO</t>
  </si>
  <si>
    <t>GRAN COSTO</t>
  </si>
  <si>
    <t xml:space="preserve"> </t>
  </si>
  <si>
    <t>COSTO POR CKD POR DESTINO</t>
  </si>
  <si>
    <t>medellin</t>
  </si>
  <si>
    <t>seul</t>
  </si>
  <si>
    <t>guadalajara</t>
  </si>
  <si>
    <t>sao pablo</t>
  </si>
  <si>
    <t>OFERTA</t>
  </si>
  <si>
    <t>guayaquil</t>
  </si>
  <si>
    <t>lima</t>
  </si>
  <si>
    <t>santa cruz</t>
  </si>
  <si>
    <t>DEMANDA</t>
  </si>
  <si>
    <t>nancy</t>
  </si>
  <si>
    <t>resultados</t>
  </si>
  <si>
    <t>total</t>
  </si>
  <si>
    <t>total/parcial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</si>
</sst>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  <numFmt numFmtId="167" formatCode="_-* #,##0_-;\-* #,##0_-;_-* &quot;-&quot;??_-;_-@_-"/>
    <numFmt numFmtId="168" formatCode="[$-F800]dddd\,\ mmmm\ dd\,\ 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165" fontId="0" fillId="0" borderId="0" xfId="1" applyNumberFormat="1" applyFont="1" applyAlignment="1">
      <alignment horizontal="center"/>
    </xf>
    <xf numFmtId="165" fontId="0" fillId="0" borderId="0" xfId="1" applyNumberFormat="1" applyFont="1"/>
    <xf numFmtId="165" fontId="2" fillId="0" borderId="0" xfId="1" applyNumberFormat="1" applyFont="1" applyAlignment="1">
      <alignment horizontal="center" wrapText="1"/>
    </xf>
    <xf numFmtId="165" fontId="0" fillId="0" borderId="0" xfId="1" applyNumberFormat="1" applyFont="1" applyAlignment="1"/>
    <xf numFmtId="166" fontId="0" fillId="0" borderId="0" xfId="1" applyNumberFormat="1" applyFont="1"/>
    <xf numFmtId="164" fontId="0" fillId="0" borderId="0" xfId="1" applyNumberFormat="1" applyFont="1"/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 horizontal="center" vertical="center" wrapText="1"/>
      <protection locked="0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6" fillId="0" borderId="6" xfId="0" applyFont="1" applyBorder="1" applyProtection="1">
      <protection locked="0"/>
    </xf>
    <xf numFmtId="2" fontId="4" fillId="0" borderId="6" xfId="0" applyNumberFormat="1" applyFont="1" applyBorder="1" applyProtection="1">
      <protection locked="0"/>
    </xf>
    <xf numFmtId="165" fontId="3" fillId="0" borderId="6" xfId="1" applyNumberFormat="1" applyFont="1" applyBorder="1" applyProtection="1">
      <protection locked="0"/>
    </xf>
    <xf numFmtId="165" fontId="0" fillId="0" borderId="6" xfId="1" applyNumberFormat="1" applyFont="1" applyBorder="1" applyProtection="1">
      <protection locked="0"/>
    </xf>
    <xf numFmtId="0" fontId="5" fillId="0" borderId="6" xfId="0" applyFont="1" applyBorder="1" applyProtection="1">
      <protection locked="0"/>
    </xf>
    <xf numFmtId="0" fontId="3" fillId="0" borderId="1" xfId="0" applyFont="1" applyBorder="1" applyProtection="1">
      <protection locked="0"/>
    </xf>
    <xf numFmtId="2" fontId="0" fillId="0" borderId="6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168" fontId="0" fillId="0" borderId="16" xfId="0" applyNumberFormat="1" applyBorder="1" applyProtection="1">
      <protection locked="0"/>
    </xf>
    <xf numFmtId="0" fontId="0" fillId="0" borderId="0" xfId="0" applyProtection="1">
      <protection locked="0"/>
    </xf>
    <xf numFmtId="0" fontId="0" fillId="0" borderId="7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1" xfId="0" applyFont="1" applyBorder="1" applyProtection="1">
      <protection locked="0"/>
    </xf>
    <xf numFmtId="2" fontId="4" fillId="0" borderId="1" xfId="0" applyNumberFormat="1" applyFont="1" applyBorder="1" applyProtection="1">
      <protection locked="0"/>
    </xf>
    <xf numFmtId="165" fontId="0" fillId="0" borderId="1" xfId="1" applyNumberFormat="1" applyFont="1" applyBorder="1" applyProtection="1">
      <protection locked="0"/>
    </xf>
    <xf numFmtId="167" fontId="3" fillId="0" borderId="1" xfId="1" applyNumberFormat="1" applyFont="1" applyBorder="1" applyProtection="1">
      <protection locked="0"/>
    </xf>
    <xf numFmtId="0" fontId="5" fillId="0" borderId="1" xfId="0" applyFont="1" applyBorder="1" applyProtection="1">
      <protection locked="0"/>
    </xf>
    <xf numFmtId="165" fontId="3" fillId="0" borderId="1" xfId="1" applyNumberFormat="1" applyFont="1" applyBorder="1" applyProtection="1">
      <protection locked="0"/>
    </xf>
    <xf numFmtId="165" fontId="3" fillId="0" borderId="15" xfId="1" applyNumberFormat="1" applyFont="1" applyBorder="1" applyProtection="1">
      <protection locked="0"/>
    </xf>
    <xf numFmtId="165" fontId="3" fillId="0" borderId="1" xfId="0" applyNumberFormat="1" applyFont="1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2" xfId="0" applyNumberFormat="1" applyBorder="1" applyProtection="1">
      <protection locked="0"/>
    </xf>
    <xf numFmtId="168" fontId="0" fillId="0" borderId="17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165" fontId="0" fillId="0" borderId="1" xfId="0" applyNumberFormat="1" applyBorder="1" applyProtection="1"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6" fillId="0" borderId="9" xfId="0" applyFont="1" applyBorder="1" applyProtection="1">
      <protection locked="0"/>
    </xf>
    <xf numFmtId="2" fontId="4" fillId="0" borderId="9" xfId="0" applyNumberFormat="1" applyFont="1" applyBorder="1" applyProtection="1">
      <protection locked="0"/>
    </xf>
    <xf numFmtId="1" fontId="0" fillId="0" borderId="9" xfId="0" applyNumberFormat="1" applyBorder="1" applyProtection="1">
      <protection locked="0"/>
    </xf>
    <xf numFmtId="165" fontId="3" fillId="0" borderId="9" xfId="1" applyNumberFormat="1" applyFont="1" applyBorder="1" applyProtection="1">
      <protection locked="0"/>
    </xf>
    <xf numFmtId="0" fontId="5" fillId="0" borderId="9" xfId="0" applyFont="1" applyBorder="1" applyProtection="1">
      <protection locked="0"/>
    </xf>
    <xf numFmtId="0" fontId="3" fillId="0" borderId="9" xfId="0" applyFont="1" applyBorder="1" applyProtection="1">
      <protection locked="0"/>
    </xf>
    <xf numFmtId="165" fontId="0" fillId="0" borderId="9" xfId="1" applyNumberFormat="1" applyFon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3" xfId="0" applyNumberFormat="1" applyBorder="1" applyProtection="1">
      <protection locked="0"/>
    </xf>
    <xf numFmtId="168" fontId="0" fillId="0" borderId="18" xfId="0" applyNumberFormat="1" applyBorder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165" fontId="0" fillId="0" borderId="6" xfId="1" applyNumberFormat="1" applyFont="1" applyBorder="1" applyAlignment="1" applyProtection="1">
      <alignment horizontal="right"/>
      <protection locked="0"/>
    </xf>
    <xf numFmtId="43" fontId="3" fillId="0" borderId="15" xfId="1" applyNumberFormat="1" applyFont="1" applyBorder="1" applyProtection="1">
      <protection locked="0"/>
    </xf>
    <xf numFmtId="43" fontId="3" fillId="0" borderId="1" xfId="1" applyNumberFormat="1" applyFont="1" applyBorder="1" applyProtection="1">
      <protection locked="0"/>
    </xf>
    <xf numFmtId="165" fontId="0" fillId="0" borderId="0" xfId="1" applyNumberFormat="1" applyFont="1" applyAlignment="1">
      <alignment horizontal="center"/>
    </xf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20" xfId="0" applyBorder="1"/>
    <xf numFmtId="0" fontId="0" fillId="0" borderId="8" xfId="0" applyBorder="1"/>
    <xf numFmtId="0" fontId="0" fillId="0" borderId="9" xfId="0" applyBorder="1"/>
    <xf numFmtId="0" fontId="0" fillId="0" borderId="21" xfId="0" applyBorder="1"/>
    <xf numFmtId="0" fontId="0" fillId="0" borderId="23" xfId="0" applyBorder="1"/>
    <xf numFmtId="43" fontId="3" fillId="0" borderId="0" xfId="0" applyNumberFormat="1" applyFont="1" applyProtection="1">
      <protection locked="0"/>
    </xf>
    <xf numFmtId="0" fontId="0" fillId="2" borderId="24" xfId="0" applyFill="1" applyBorder="1"/>
    <xf numFmtId="0" fontId="0" fillId="2" borderId="23" xfId="0" applyFill="1" applyBorder="1"/>
    <xf numFmtId="0" fontId="0" fillId="2" borderId="1" xfId="0" applyFill="1" applyBorder="1"/>
    <xf numFmtId="0" fontId="0" fillId="2" borderId="9" xfId="0" applyFill="1" applyBorder="1"/>
    <xf numFmtId="0" fontId="7" fillId="0" borderId="22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1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165" fontId="8" fillId="0" borderId="25" xfId="1" applyNumberFormat="1" applyFont="1" applyBorder="1"/>
    <xf numFmtId="0" fontId="7" fillId="0" borderId="11" xfId="0" applyFont="1" applyBorder="1"/>
    <xf numFmtId="0" fontId="7" fillId="0" borderId="26" xfId="0" applyFont="1" applyBorder="1"/>
    <xf numFmtId="0" fontId="0" fillId="0" borderId="27" xfId="0" applyBorder="1"/>
    <xf numFmtId="0" fontId="7" fillId="0" borderId="28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workbookViewId="0">
      <selection activeCell="D13" sqref="D13"/>
    </sheetView>
  </sheetViews>
  <sheetFormatPr baseColWidth="10" defaultRowHeight="15" x14ac:dyDescent="0.25"/>
  <cols>
    <col min="1" max="1" width="15.7109375" style="2" customWidth="1"/>
    <col min="2" max="6" width="11.42578125" style="2"/>
    <col min="7" max="7" width="15.42578125" style="2" bestFit="1" customWidth="1"/>
    <col min="8" max="8" width="13.7109375" style="2" bestFit="1" customWidth="1"/>
    <col min="9" max="9" width="13.7109375" style="2" customWidth="1"/>
    <col min="10" max="16384" width="11.42578125" style="2"/>
  </cols>
  <sheetData>
    <row r="2" spans="1:10" x14ac:dyDescent="0.25">
      <c r="A2" s="61" t="s">
        <v>3</v>
      </c>
      <c r="B2" s="61"/>
      <c r="C2" s="61"/>
      <c r="D2" s="61"/>
      <c r="E2" s="61"/>
      <c r="G2" s="61" t="s">
        <v>24</v>
      </c>
      <c r="H2" s="61"/>
      <c r="I2" s="61"/>
      <c r="J2" s="61"/>
    </row>
    <row r="4" spans="1:10" s="3" customFormat="1" ht="25.5" customHeight="1" x14ac:dyDescent="0.2">
      <c r="A4" s="3" t="s">
        <v>4</v>
      </c>
      <c r="B4" s="3" t="s">
        <v>5</v>
      </c>
      <c r="C4" s="3" t="s">
        <v>11</v>
      </c>
      <c r="D4" s="3" t="s">
        <v>33</v>
      </c>
      <c r="E4" s="3" t="s">
        <v>21</v>
      </c>
      <c r="G4" s="3" t="s">
        <v>25</v>
      </c>
      <c r="H4" s="3" t="s">
        <v>5</v>
      </c>
      <c r="I4" s="3" t="s">
        <v>32</v>
      </c>
    </row>
    <row r="5" spans="1:10" s="3" customFormat="1" ht="12.75" x14ac:dyDescent="0.2">
      <c r="D5" s="3" t="s">
        <v>34</v>
      </c>
    </row>
    <row r="7" spans="1:10" x14ac:dyDescent="0.25">
      <c r="A7" s="2" t="s">
        <v>0</v>
      </c>
      <c r="B7" s="2" t="s">
        <v>6</v>
      </c>
      <c r="C7" s="2">
        <v>2000</v>
      </c>
      <c r="D7" s="2">
        <v>10</v>
      </c>
      <c r="E7" s="2">
        <v>1500</v>
      </c>
      <c r="G7" s="2" t="s">
        <v>26</v>
      </c>
      <c r="H7" s="5" t="s">
        <v>27</v>
      </c>
      <c r="I7" s="6">
        <v>0.75</v>
      </c>
    </row>
    <row r="8" spans="1:10" x14ac:dyDescent="0.25">
      <c r="H8" s="5" t="s">
        <v>28</v>
      </c>
      <c r="I8" s="6">
        <v>0.56999999999999995</v>
      </c>
    </row>
    <row r="9" spans="1:10" x14ac:dyDescent="0.25">
      <c r="A9" s="2" t="s">
        <v>7</v>
      </c>
      <c r="B9" s="2" t="s">
        <v>8</v>
      </c>
      <c r="C9" s="2">
        <v>1500</v>
      </c>
      <c r="D9" s="2">
        <v>11</v>
      </c>
      <c r="E9" s="2">
        <v>1100</v>
      </c>
      <c r="H9" s="5" t="s">
        <v>9</v>
      </c>
      <c r="I9" s="6">
        <v>1.35</v>
      </c>
    </row>
    <row r="10" spans="1:10" x14ac:dyDescent="0.25">
      <c r="H10" s="5" t="s">
        <v>29</v>
      </c>
      <c r="I10" s="6">
        <v>1.45</v>
      </c>
    </row>
    <row r="11" spans="1:10" x14ac:dyDescent="0.25">
      <c r="A11" s="2" t="s">
        <v>1</v>
      </c>
      <c r="B11" s="2" t="s">
        <v>9</v>
      </c>
      <c r="C11" s="2">
        <v>1700</v>
      </c>
      <c r="D11" s="2">
        <v>8</v>
      </c>
      <c r="E11" s="2">
        <v>1500</v>
      </c>
      <c r="H11" s="5" t="s">
        <v>14</v>
      </c>
      <c r="I11" s="6" t="s">
        <v>35</v>
      </c>
    </row>
    <row r="12" spans="1:10" x14ac:dyDescent="0.25">
      <c r="H12" s="5" t="s">
        <v>16</v>
      </c>
      <c r="I12" s="6" t="s">
        <v>35</v>
      </c>
    </row>
    <row r="13" spans="1:10" x14ac:dyDescent="0.25">
      <c r="A13" s="2" t="s">
        <v>2</v>
      </c>
      <c r="B13" s="2" t="s">
        <v>10</v>
      </c>
      <c r="C13" s="2">
        <v>1400</v>
      </c>
      <c r="D13" s="2">
        <v>8</v>
      </c>
      <c r="E13" s="2">
        <v>1400</v>
      </c>
      <c r="H13" s="5" t="s">
        <v>18</v>
      </c>
      <c r="I13" s="6">
        <v>1.85</v>
      </c>
    </row>
    <row r="14" spans="1:10" x14ac:dyDescent="0.25">
      <c r="C14" s="2">
        <f>SUM(C7:C13)</f>
        <v>6600</v>
      </c>
      <c r="H14" s="5" t="s">
        <v>20</v>
      </c>
      <c r="I14" s="6">
        <v>1.9</v>
      </c>
    </row>
    <row r="15" spans="1:10" x14ac:dyDescent="0.25">
      <c r="H15" s="5"/>
      <c r="I15" s="6"/>
    </row>
    <row r="16" spans="1:10" x14ac:dyDescent="0.25">
      <c r="B16" s="61" t="s">
        <v>22</v>
      </c>
      <c r="C16" s="61"/>
      <c r="D16" s="1"/>
      <c r="G16" s="2" t="s">
        <v>30</v>
      </c>
      <c r="H16" s="5" t="s">
        <v>27</v>
      </c>
      <c r="I16" s="6">
        <v>1.08</v>
      </c>
    </row>
    <row r="17" spans="1:9" x14ac:dyDescent="0.25">
      <c r="H17" s="5" t="s">
        <v>28</v>
      </c>
      <c r="I17" s="6">
        <v>0.98</v>
      </c>
    </row>
    <row r="18" spans="1:9" x14ac:dyDescent="0.25">
      <c r="H18" s="5" t="s">
        <v>9</v>
      </c>
      <c r="I18" s="6">
        <v>1.1599999999999999</v>
      </c>
    </row>
    <row r="19" spans="1:9" x14ac:dyDescent="0.25">
      <c r="H19" s="5" t="s">
        <v>29</v>
      </c>
      <c r="I19" s="6">
        <v>1.25</v>
      </c>
    </row>
    <row r="20" spans="1:9" x14ac:dyDescent="0.25">
      <c r="A20" s="61" t="s">
        <v>12</v>
      </c>
      <c r="B20" s="61"/>
      <c r="C20" s="61"/>
      <c r="D20" s="1"/>
      <c r="E20" s="4"/>
      <c r="H20" s="5" t="s">
        <v>14</v>
      </c>
      <c r="I20" s="6">
        <v>2.25</v>
      </c>
    </row>
    <row r="21" spans="1:9" x14ac:dyDescent="0.25">
      <c r="H21" s="5" t="s">
        <v>16</v>
      </c>
      <c r="I21" s="6">
        <v>1.95</v>
      </c>
    </row>
    <row r="22" spans="1:9" x14ac:dyDescent="0.25">
      <c r="A22" s="2" t="s">
        <v>4</v>
      </c>
      <c r="B22" s="2" t="s">
        <v>5</v>
      </c>
      <c r="C22" s="2" t="s">
        <v>11</v>
      </c>
      <c r="H22" s="5" t="s">
        <v>18</v>
      </c>
      <c r="I22" s="6">
        <v>2.0499999999999998</v>
      </c>
    </row>
    <row r="23" spans="1:9" x14ac:dyDescent="0.25">
      <c r="H23" s="5" t="s">
        <v>20</v>
      </c>
      <c r="I23" s="6">
        <v>2.8</v>
      </c>
    </row>
    <row r="24" spans="1:9" x14ac:dyDescent="0.25">
      <c r="A24" s="2" t="s">
        <v>13</v>
      </c>
      <c r="B24" s="2" t="s">
        <v>14</v>
      </c>
      <c r="C24" s="2">
        <v>2500</v>
      </c>
      <c r="H24" s="5"/>
      <c r="I24" s="5"/>
    </row>
    <row r="25" spans="1:9" x14ac:dyDescent="0.25">
      <c r="G25" s="2" t="s">
        <v>31</v>
      </c>
      <c r="H25" s="5" t="s">
        <v>42</v>
      </c>
      <c r="I25" s="6">
        <v>0.2</v>
      </c>
    </row>
    <row r="26" spans="1:9" x14ac:dyDescent="0.25">
      <c r="A26" s="2" t="s">
        <v>15</v>
      </c>
      <c r="B26" s="2" t="s">
        <v>16</v>
      </c>
      <c r="C26" s="2">
        <v>1100</v>
      </c>
      <c r="H26" s="5" t="s">
        <v>43</v>
      </c>
      <c r="I26" s="6">
        <v>0.28000000000000003</v>
      </c>
    </row>
    <row r="27" spans="1:9" x14ac:dyDescent="0.25">
      <c r="H27" s="5" t="s">
        <v>44</v>
      </c>
      <c r="I27" s="6">
        <v>0.32</v>
      </c>
    </row>
    <row r="28" spans="1:9" x14ac:dyDescent="0.25">
      <c r="A28" s="2" t="s">
        <v>17</v>
      </c>
      <c r="B28" s="2" t="s">
        <v>18</v>
      </c>
      <c r="C28" s="2">
        <v>2200</v>
      </c>
      <c r="H28" s="5" t="s">
        <v>39</v>
      </c>
      <c r="I28" s="6">
        <v>0.12</v>
      </c>
    </row>
    <row r="29" spans="1:9" x14ac:dyDescent="0.25">
      <c r="H29" s="5" t="s">
        <v>40</v>
      </c>
      <c r="I29" s="6">
        <v>0.13</v>
      </c>
    </row>
    <row r="30" spans="1:9" x14ac:dyDescent="0.25">
      <c r="A30" s="2" t="s">
        <v>19</v>
      </c>
      <c r="B30" s="2" t="s">
        <v>20</v>
      </c>
      <c r="C30" s="2">
        <v>800</v>
      </c>
      <c r="H30" s="5" t="s">
        <v>41</v>
      </c>
      <c r="I30" s="6">
        <v>1.1399999999999999</v>
      </c>
    </row>
    <row r="31" spans="1:9" x14ac:dyDescent="0.25">
      <c r="C31" s="2">
        <f>SUM(C24:C30)</f>
        <v>6600</v>
      </c>
      <c r="H31" s="5" t="s">
        <v>36</v>
      </c>
      <c r="I31" s="6">
        <v>0.98</v>
      </c>
    </row>
    <row r="32" spans="1:9" x14ac:dyDescent="0.25">
      <c r="H32" s="5" t="s">
        <v>37</v>
      </c>
      <c r="I32" s="6">
        <v>1.02</v>
      </c>
    </row>
    <row r="33" spans="2:9" x14ac:dyDescent="0.25">
      <c r="B33" s="61" t="s">
        <v>23</v>
      </c>
      <c r="C33" s="61"/>
      <c r="D33" s="1"/>
      <c r="H33" s="5" t="s">
        <v>38</v>
      </c>
      <c r="I33" s="6">
        <v>1.05</v>
      </c>
    </row>
    <row r="34" spans="2:9" x14ac:dyDescent="0.25">
      <c r="H34" s="2" t="s">
        <v>45</v>
      </c>
      <c r="I34" s="6">
        <v>0.65</v>
      </c>
    </row>
    <row r="35" spans="2:9" x14ac:dyDescent="0.25">
      <c r="H35" s="2" t="s">
        <v>46</v>
      </c>
      <c r="I35" s="6">
        <v>0.95</v>
      </c>
    </row>
    <row r="36" spans="2:9" x14ac:dyDescent="0.25">
      <c r="H36" s="2" t="s">
        <v>47</v>
      </c>
      <c r="I36" s="6">
        <v>1.02</v>
      </c>
    </row>
    <row r="37" spans="2:9" x14ac:dyDescent="0.25">
      <c r="I37" s="6"/>
    </row>
    <row r="38" spans="2:9" x14ac:dyDescent="0.25">
      <c r="H38" s="61" t="s">
        <v>48</v>
      </c>
      <c r="I38" s="61"/>
    </row>
  </sheetData>
  <mergeCells count="6">
    <mergeCell ref="H38:I38"/>
    <mergeCell ref="B33:C33"/>
    <mergeCell ref="A2:E2"/>
    <mergeCell ref="A20:C20"/>
    <mergeCell ref="B16:C16"/>
    <mergeCell ref="G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"/>
  <sheetViews>
    <sheetView workbookViewId="0">
      <selection activeCell="C2" sqref="C2"/>
    </sheetView>
  </sheetViews>
  <sheetFormatPr baseColWidth="10" defaultRowHeight="15" x14ac:dyDescent="0.25"/>
  <cols>
    <col min="1" max="1" width="14.140625" style="28" customWidth="1"/>
    <col min="2" max="2" width="9" style="28" customWidth="1"/>
    <col min="3" max="3" width="7.42578125" style="28" customWidth="1"/>
    <col min="4" max="4" width="7.28515625" style="28" customWidth="1"/>
    <col min="5" max="5" width="8.28515625" style="56" customWidth="1"/>
    <col min="6" max="6" width="8.28515625" style="28" customWidth="1"/>
    <col min="7" max="7" width="12.140625" style="57" customWidth="1"/>
    <col min="8" max="8" width="12.85546875" style="28" customWidth="1"/>
    <col min="9" max="9" width="10.28515625" style="28" customWidth="1"/>
    <col min="10" max="10" width="9.140625" style="28" customWidth="1"/>
    <col min="11" max="11" width="8.28515625" style="56" customWidth="1"/>
    <col min="12" max="12" width="9.7109375" style="28" customWidth="1"/>
    <col min="13" max="13" width="10.28515625" style="57" customWidth="1"/>
    <col min="14" max="14" width="11.42578125" style="28"/>
    <col min="15" max="15" width="7" style="28" customWidth="1"/>
    <col min="16" max="16" width="9.140625" style="28" customWidth="1"/>
    <col min="17" max="17" width="8.28515625" style="56" customWidth="1"/>
    <col min="18" max="18" width="8.28515625" style="28" customWidth="1"/>
    <col min="19" max="19" width="10.5703125" style="57" customWidth="1"/>
    <col min="20" max="21" width="11.42578125" style="28"/>
    <col min="22" max="22" width="13.140625" style="28" bestFit="1" customWidth="1"/>
    <col min="23" max="24" width="13.140625" style="57" customWidth="1"/>
    <col min="25" max="25" width="11.42578125" style="57"/>
    <col min="26" max="29" width="11.42578125" style="28"/>
    <col min="30" max="30" width="28" style="28" bestFit="1" customWidth="1"/>
    <col min="31" max="16384" width="11.42578125" style="28"/>
  </cols>
  <sheetData>
    <row r="1" spans="1:30" s="16" customFormat="1" ht="60.75" thickBot="1" x14ac:dyDescent="0.3">
      <c r="A1" s="7" t="s">
        <v>55</v>
      </c>
      <c r="B1" s="8" t="s">
        <v>68</v>
      </c>
      <c r="C1" s="9" t="s">
        <v>56</v>
      </c>
      <c r="D1" s="9" t="s">
        <v>54</v>
      </c>
      <c r="E1" s="10" t="s">
        <v>77</v>
      </c>
      <c r="F1" s="9" t="s">
        <v>59</v>
      </c>
      <c r="G1" s="11" t="s">
        <v>60</v>
      </c>
      <c r="H1" s="9" t="s">
        <v>53</v>
      </c>
      <c r="I1" s="9" t="s">
        <v>56</v>
      </c>
      <c r="J1" s="9" t="s">
        <v>54</v>
      </c>
      <c r="K1" s="10" t="s">
        <v>77</v>
      </c>
      <c r="L1" s="9" t="s">
        <v>59</v>
      </c>
      <c r="M1" s="11" t="s">
        <v>60</v>
      </c>
      <c r="N1" s="9" t="s">
        <v>51</v>
      </c>
      <c r="O1" s="9" t="s">
        <v>56</v>
      </c>
      <c r="P1" s="9" t="s">
        <v>54</v>
      </c>
      <c r="Q1" s="10" t="s">
        <v>57</v>
      </c>
      <c r="R1" s="9" t="s">
        <v>59</v>
      </c>
      <c r="S1" s="11" t="s">
        <v>60</v>
      </c>
      <c r="T1" s="9" t="s">
        <v>52</v>
      </c>
      <c r="U1" s="12" t="s">
        <v>68</v>
      </c>
      <c r="V1" s="12" t="s">
        <v>67</v>
      </c>
      <c r="W1" s="13" t="s">
        <v>84</v>
      </c>
      <c r="X1" s="13" t="s">
        <v>87</v>
      </c>
      <c r="Y1" s="13" t="s">
        <v>85</v>
      </c>
      <c r="Z1" s="12" t="s">
        <v>79</v>
      </c>
      <c r="AA1" s="12" t="s">
        <v>80</v>
      </c>
      <c r="AB1" s="12" t="s">
        <v>81</v>
      </c>
      <c r="AC1" s="14" t="s">
        <v>82</v>
      </c>
      <c r="AD1" s="15" t="s">
        <v>83</v>
      </c>
    </row>
    <row r="2" spans="1:30" x14ac:dyDescent="0.25">
      <c r="A2" s="17" t="s">
        <v>49</v>
      </c>
      <c r="B2" s="18">
        <f>+problema!C7</f>
        <v>2000</v>
      </c>
      <c r="C2" s="18">
        <v>477</v>
      </c>
      <c r="D2" s="19" t="s">
        <v>58</v>
      </c>
      <c r="E2" s="20">
        <f>+C2/60/24</f>
        <v>0.33124999999999999</v>
      </c>
      <c r="F2" s="18">
        <f>+problema!C7/problema!D7</f>
        <v>200</v>
      </c>
      <c r="G2" s="21">
        <f>+C2*F2*problema!I7</f>
        <v>71550</v>
      </c>
      <c r="H2" s="18" t="s">
        <v>50</v>
      </c>
      <c r="I2" s="22">
        <v>8401</v>
      </c>
      <c r="J2" s="23" t="s">
        <v>63</v>
      </c>
      <c r="K2" s="20">
        <f>+I2/33/24</f>
        <v>10.607323232323232</v>
      </c>
      <c r="L2" s="18">
        <f>+problema!C7/problema!D7</f>
        <v>200</v>
      </c>
      <c r="M2" s="21">
        <f>+L2*I2*0.2</f>
        <v>336040</v>
      </c>
      <c r="N2" s="18" t="s">
        <v>62</v>
      </c>
      <c r="O2" s="58">
        <v>580</v>
      </c>
      <c r="P2" s="23" t="s">
        <v>65</v>
      </c>
      <c r="Q2" s="20">
        <f>+O2/45/24</f>
        <v>0.53703703703703709</v>
      </c>
      <c r="R2" s="18">
        <f>+problema!C7/problema!D7</f>
        <v>200</v>
      </c>
      <c r="S2" s="21">
        <f>+O2*R2*2.25</f>
        <v>261000</v>
      </c>
      <c r="T2" s="23" t="s">
        <v>13</v>
      </c>
      <c r="U2" s="22">
        <f>+problema!C7</f>
        <v>2000</v>
      </c>
      <c r="V2" s="22">
        <f>+U2*problema!E7</f>
        <v>3000000</v>
      </c>
      <c r="W2" s="37">
        <f>+G2+M2+S2</f>
        <v>668590</v>
      </c>
      <c r="X2" s="37"/>
      <c r="Y2" s="24"/>
      <c r="Z2" s="18"/>
      <c r="AA2" s="25">
        <f t="shared" ref="AA2:AA8" si="0">+Q2+K2+E2</f>
        <v>11.475610269360269</v>
      </c>
      <c r="AB2" s="18">
        <v>6</v>
      </c>
      <c r="AC2" s="26">
        <f>SUM(AA2:AB2)</f>
        <v>17.475610269360267</v>
      </c>
      <c r="AD2" s="27">
        <v>41071</v>
      </c>
    </row>
    <row r="3" spans="1:30" x14ac:dyDescent="0.25">
      <c r="A3" s="29" t="s">
        <v>61</v>
      </c>
      <c r="B3" s="30">
        <f>+problema!C9</f>
        <v>1500</v>
      </c>
      <c r="C3" s="30">
        <v>309</v>
      </c>
      <c r="D3" s="31" t="s">
        <v>58</v>
      </c>
      <c r="E3" s="32">
        <f t="shared" ref="E3:E8" si="1">+C3/60/24</f>
        <v>0.21458333333333335</v>
      </c>
      <c r="F3" s="33">
        <f>500/problema!$D$9</f>
        <v>45.454545454545453</v>
      </c>
      <c r="G3" s="34">
        <f>+C3*F3*problema!I7</f>
        <v>10534.09090909091</v>
      </c>
      <c r="H3" s="30" t="s">
        <v>64</v>
      </c>
      <c r="I3" s="33">
        <v>14857</v>
      </c>
      <c r="J3" s="35" t="s">
        <v>63</v>
      </c>
      <c r="K3" s="32">
        <f>+I3/33/24</f>
        <v>18.758838383838384</v>
      </c>
      <c r="L3" s="33">
        <f>+problema!$C$9/problema!$D$9</f>
        <v>136.36363636363637</v>
      </c>
      <c r="M3" s="36">
        <f>+L3*I3*0.13</f>
        <v>263374.09090909094</v>
      </c>
      <c r="N3" s="30" t="s">
        <v>71</v>
      </c>
      <c r="O3" s="30">
        <v>310</v>
      </c>
      <c r="P3" s="35" t="s">
        <v>65</v>
      </c>
      <c r="Q3" s="32">
        <f t="shared" ref="Q3:Q8" si="2">+O3/45/24</f>
        <v>0.28703703703703703</v>
      </c>
      <c r="R3" s="33">
        <f>500/problema!$D$9</f>
        <v>45.454545454545453</v>
      </c>
      <c r="S3" s="36">
        <f>+O3*R3*2.25</f>
        <v>31704.545454545452</v>
      </c>
      <c r="T3" s="35" t="s">
        <v>13</v>
      </c>
      <c r="U3" s="33">
        <v>500</v>
      </c>
      <c r="V3" s="33">
        <f>+U3*problema!E9</f>
        <v>550000</v>
      </c>
      <c r="W3" s="37">
        <f>+S3+S2+M3+M2+G3+G2</f>
        <v>974202.72727272741</v>
      </c>
      <c r="X3" s="37">
        <f>(+V2+V3)/2500</f>
        <v>1420</v>
      </c>
      <c r="Y3" s="38">
        <f>+W3+V2+V3</f>
        <v>4524202.7272727275</v>
      </c>
      <c r="Z3" s="35" t="s">
        <v>74</v>
      </c>
      <c r="AA3" s="39">
        <f t="shared" si="0"/>
        <v>19.260458754208756</v>
      </c>
      <c r="AB3" s="30">
        <v>4</v>
      </c>
      <c r="AC3" s="40">
        <f t="shared" ref="AC3:AC8" si="3">SUM(AA3:AB3)</f>
        <v>23.260458754208756</v>
      </c>
      <c r="AD3" s="41">
        <v>41065</v>
      </c>
    </row>
    <row r="4" spans="1:30" x14ac:dyDescent="0.25">
      <c r="A4" s="29" t="s">
        <v>71</v>
      </c>
      <c r="B4" s="30">
        <v>1000</v>
      </c>
      <c r="C4" s="30">
        <v>750</v>
      </c>
      <c r="D4" s="31" t="s">
        <v>63</v>
      </c>
      <c r="E4" s="32">
        <f t="shared" si="1"/>
        <v>0.52083333333333337</v>
      </c>
      <c r="F4" s="33">
        <f>1000/problema!D9</f>
        <v>90.909090909090907</v>
      </c>
      <c r="G4" s="34">
        <f>+C4*F4*problema!I32</f>
        <v>69545.454545454544</v>
      </c>
      <c r="H4" s="30" t="s">
        <v>15</v>
      </c>
      <c r="I4" s="33"/>
      <c r="J4" s="35"/>
      <c r="K4" s="32"/>
      <c r="L4" s="33"/>
      <c r="M4" s="36"/>
      <c r="N4" s="30"/>
      <c r="O4" s="30"/>
      <c r="P4" s="35"/>
      <c r="Q4" s="32">
        <f t="shared" si="2"/>
        <v>0</v>
      </c>
      <c r="R4" s="42"/>
      <c r="S4" s="36"/>
      <c r="T4" s="35" t="s">
        <v>78</v>
      </c>
      <c r="U4" s="33">
        <v>1000</v>
      </c>
      <c r="V4" s="33">
        <f>+U4*problema!E9</f>
        <v>1100000</v>
      </c>
      <c r="W4" s="37">
        <f>+G4</f>
        <v>69545.454545454544</v>
      </c>
      <c r="X4" s="37">
        <f>+W4/1000</f>
        <v>69.545454545454547</v>
      </c>
      <c r="Y4" s="38" t="s">
        <v>86</v>
      </c>
      <c r="Z4" s="35"/>
      <c r="AA4" s="39">
        <f t="shared" si="0"/>
        <v>0.52083333333333337</v>
      </c>
      <c r="AB4" s="30"/>
      <c r="AC4" s="40">
        <f t="shared" si="3"/>
        <v>0.52083333333333337</v>
      </c>
      <c r="AD4" s="41"/>
    </row>
    <row r="5" spans="1:30" x14ac:dyDescent="0.25">
      <c r="A5" s="29" t="s">
        <v>1</v>
      </c>
      <c r="B5" s="30">
        <f>+problema!C11</f>
        <v>1700</v>
      </c>
      <c r="C5" s="30">
        <v>290</v>
      </c>
      <c r="D5" s="31" t="s">
        <v>58</v>
      </c>
      <c r="E5" s="32">
        <f t="shared" si="1"/>
        <v>0.20138888888888887</v>
      </c>
      <c r="F5" s="42">
        <f>+problema!$C$11/problema!$D$11</f>
        <v>212.5</v>
      </c>
      <c r="G5" s="36">
        <f>+C5*F5*1.35</f>
        <v>83193.75</v>
      </c>
      <c r="H5" s="30" t="s">
        <v>66</v>
      </c>
      <c r="I5" s="33">
        <v>4568</v>
      </c>
      <c r="J5" s="35" t="s">
        <v>63</v>
      </c>
      <c r="K5" s="32">
        <f>+I5/33/24</f>
        <v>5.7676767676767682</v>
      </c>
      <c r="L5" s="42">
        <f>+problema!C11/problema!D11</f>
        <v>212.5</v>
      </c>
      <c r="M5" s="36">
        <f>+I5*L5*1.05</f>
        <v>1019235</v>
      </c>
      <c r="N5" s="30" t="s">
        <v>69</v>
      </c>
      <c r="O5" s="30">
        <v>12</v>
      </c>
      <c r="P5" s="35" t="s">
        <v>65</v>
      </c>
      <c r="Q5" s="32">
        <f t="shared" si="2"/>
        <v>1.1111111111111112E-2</v>
      </c>
      <c r="R5" s="42">
        <f>+problema!$C$11/problema!$D$11</f>
        <v>212.5</v>
      </c>
      <c r="S5" s="36">
        <f>+O5*R5*2.05</f>
        <v>5227.5</v>
      </c>
      <c r="T5" s="35" t="s">
        <v>70</v>
      </c>
      <c r="U5" s="30">
        <f>+problema!C11</f>
        <v>1700</v>
      </c>
      <c r="V5" s="33">
        <f>+problema!C11*problema!E11</f>
        <v>2550000</v>
      </c>
      <c r="W5" s="37"/>
      <c r="X5" s="37"/>
      <c r="Y5" s="38" t="s">
        <v>86</v>
      </c>
      <c r="Z5" s="35"/>
      <c r="AA5" s="39">
        <f t="shared" si="0"/>
        <v>5.9801767676767685</v>
      </c>
      <c r="AB5" s="30">
        <v>7</v>
      </c>
      <c r="AC5" s="40">
        <f t="shared" si="3"/>
        <v>12.980176767676769</v>
      </c>
      <c r="AD5" s="41">
        <v>41076</v>
      </c>
    </row>
    <row r="6" spans="1:30" x14ac:dyDescent="0.25">
      <c r="A6" s="29" t="s">
        <v>72</v>
      </c>
      <c r="B6" s="30">
        <f>+problema!C13</f>
        <v>1400</v>
      </c>
      <c r="C6" s="30">
        <v>1816</v>
      </c>
      <c r="D6" s="31" t="s">
        <v>58</v>
      </c>
      <c r="E6" s="32">
        <f t="shared" si="1"/>
        <v>1.2611111111111111</v>
      </c>
      <c r="F6" s="30">
        <f>+problema!C13/problema!D13</f>
        <v>175</v>
      </c>
      <c r="G6" s="36">
        <f>+C6*F6*1.45</f>
        <v>460810</v>
      </c>
      <c r="H6" s="30" t="s">
        <v>19</v>
      </c>
      <c r="I6" s="30"/>
      <c r="J6" s="35"/>
      <c r="K6" s="32"/>
      <c r="L6" s="30"/>
      <c r="M6" s="24"/>
      <c r="N6" s="30"/>
      <c r="O6" s="43"/>
      <c r="P6" s="35"/>
      <c r="Q6" s="32">
        <f t="shared" si="2"/>
        <v>0</v>
      </c>
      <c r="R6" s="30"/>
      <c r="S6" s="24"/>
      <c r="T6" s="35" t="s">
        <v>19</v>
      </c>
      <c r="U6" s="30">
        <v>800</v>
      </c>
      <c r="V6" s="33">
        <f>+U6*problema!E13</f>
        <v>1120000</v>
      </c>
      <c r="W6" s="37">
        <f>+G6</f>
        <v>460810</v>
      </c>
      <c r="X6" s="59">
        <f>+W6/U6</f>
        <v>576.01250000000005</v>
      </c>
      <c r="Y6" s="38">
        <f>+W6+V6</f>
        <v>1580810</v>
      </c>
      <c r="Z6" s="35" t="s">
        <v>75</v>
      </c>
      <c r="AA6" s="39">
        <f t="shared" si="0"/>
        <v>1.2611111111111111</v>
      </c>
      <c r="AB6" s="30"/>
      <c r="AC6" s="40">
        <f t="shared" si="3"/>
        <v>1.2611111111111111</v>
      </c>
      <c r="AD6" s="41">
        <v>41085</v>
      </c>
    </row>
    <row r="7" spans="1:30" x14ac:dyDescent="0.25">
      <c r="A7" s="29" t="s">
        <v>19</v>
      </c>
      <c r="B7" s="30">
        <v>500</v>
      </c>
      <c r="C7" s="30">
        <v>1640</v>
      </c>
      <c r="D7" s="31" t="s">
        <v>65</v>
      </c>
      <c r="E7" s="32">
        <f t="shared" si="1"/>
        <v>1.1388888888888888</v>
      </c>
      <c r="F7" s="30">
        <f>+B7/problema!D13</f>
        <v>62.5</v>
      </c>
      <c r="G7" s="36">
        <f>+C7*F7*2.8</f>
        <v>287000</v>
      </c>
      <c r="H7" s="30" t="s">
        <v>17</v>
      </c>
      <c r="I7" s="30"/>
      <c r="J7" s="35"/>
      <c r="K7" s="32"/>
      <c r="L7" s="30"/>
      <c r="M7" s="24"/>
      <c r="N7" s="30"/>
      <c r="O7" s="30"/>
      <c r="P7" s="35"/>
      <c r="Q7" s="32">
        <f t="shared" si="2"/>
        <v>0</v>
      </c>
      <c r="R7" s="30"/>
      <c r="S7" s="24"/>
      <c r="T7" s="35" t="s">
        <v>70</v>
      </c>
      <c r="U7" s="33">
        <v>500</v>
      </c>
      <c r="V7" s="30">
        <f>+U7*problema!E13</f>
        <v>700000</v>
      </c>
      <c r="W7" s="37">
        <f>+S5+M5+G5</f>
        <v>1107656.25</v>
      </c>
      <c r="X7" s="59">
        <f>+W7/(U7+U5)</f>
        <v>503.48011363636363</v>
      </c>
      <c r="Y7" s="38">
        <f>+W7+V7+V5</f>
        <v>4357656.25</v>
      </c>
      <c r="Z7" s="35" t="s">
        <v>76</v>
      </c>
      <c r="AA7" s="39">
        <f t="shared" si="0"/>
        <v>1.1388888888888888</v>
      </c>
      <c r="AB7" s="30"/>
      <c r="AC7" s="40">
        <f t="shared" si="3"/>
        <v>1.1388888888888888</v>
      </c>
      <c r="AD7" s="41">
        <v>41085</v>
      </c>
    </row>
    <row r="8" spans="1:30" ht="15.75" thickBot="1" x14ac:dyDescent="0.3">
      <c r="A8" s="44" t="s">
        <v>17</v>
      </c>
      <c r="B8" s="45">
        <v>100</v>
      </c>
      <c r="C8" s="45">
        <v>12</v>
      </c>
      <c r="D8" s="46" t="s">
        <v>65</v>
      </c>
      <c r="E8" s="47">
        <f t="shared" si="1"/>
        <v>8.3333333333333332E-3</v>
      </c>
      <c r="F8" s="48">
        <f>+$B$8/problema!$D$13</f>
        <v>12.5</v>
      </c>
      <c r="G8" s="49">
        <f>+C8*F8*2.05</f>
        <v>307.5</v>
      </c>
      <c r="H8" s="45" t="s">
        <v>73</v>
      </c>
      <c r="I8" s="45">
        <v>1137</v>
      </c>
      <c r="J8" s="50" t="s">
        <v>63</v>
      </c>
      <c r="K8" s="47">
        <f>+I8/33/24</f>
        <v>1.4356060606060606</v>
      </c>
      <c r="L8" s="48">
        <f>+$B$8/problema!$D$13</f>
        <v>12.5</v>
      </c>
      <c r="M8" s="49">
        <f>+I8*L8*1.02</f>
        <v>14496.75</v>
      </c>
      <c r="N8" s="45" t="s">
        <v>15</v>
      </c>
      <c r="O8" s="45"/>
      <c r="P8" s="50"/>
      <c r="Q8" s="47">
        <f t="shared" si="2"/>
        <v>0</v>
      </c>
      <c r="R8" s="45"/>
      <c r="S8" s="51"/>
      <c r="T8" s="50" t="s">
        <v>78</v>
      </c>
      <c r="U8" s="52">
        <v>100</v>
      </c>
      <c r="V8" s="45">
        <f>+U8*problema!E13</f>
        <v>140000</v>
      </c>
      <c r="W8" s="36">
        <f>+M8+G8+G4</f>
        <v>84349.704545454544</v>
      </c>
      <c r="X8" s="60">
        <f>+W8/(U8+U4)</f>
        <v>76.681549586776853</v>
      </c>
      <c r="Y8" s="38">
        <f>+W8+V8+V4</f>
        <v>1324349.7045454546</v>
      </c>
      <c r="Z8" s="50" t="s">
        <v>78</v>
      </c>
      <c r="AA8" s="53">
        <f t="shared" si="0"/>
        <v>1.4439393939393939</v>
      </c>
      <c r="AB8" s="45"/>
      <c r="AC8" s="54">
        <f t="shared" si="3"/>
        <v>1.4439393939393939</v>
      </c>
      <c r="AD8" s="55">
        <v>41085</v>
      </c>
    </row>
    <row r="9" spans="1:30" x14ac:dyDescent="0.25">
      <c r="X9" s="70">
        <f>+X4+X8</f>
        <v>146.2270041322314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G6" sqref="G6"/>
    </sheetView>
  </sheetViews>
  <sheetFormatPr baseColWidth="10" defaultRowHeight="15" x14ac:dyDescent="0.25"/>
  <cols>
    <col min="1" max="1" width="12" customWidth="1"/>
    <col min="2" max="2" width="9.28515625" customWidth="1"/>
    <col min="3" max="3" width="6.140625" customWidth="1"/>
    <col min="4" max="4" width="10.140625" customWidth="1"/>
    <col min="5" max="5" width="4.85546875" customWidth="1"/>
    <col min="6" max="6" width="7.7109375" customWidth="1"/>
    <col min="7" max="7" width="5.42578125" customWidth="1"/>
    <col min="8" max="8" width="7.7109375" customWidth="1"/>
    <col min="9" max="9" width="6.140625" customWidth="1"/>
    <col min="10" max="10" width="7.7109375" customWidth="1"/>
    <col min="12" max="12" width="15.7109375" bestFit="1" customWidth="1"/>
  </cols>
  <sheetData>
    <row r="1" spans="1:15" ht="54" customHeight="1" thickBot="1" x14ac:dyDescent="0.3">
      <c r="A1" s="63"/>
      <c r="B1" s="78" t="s">
        <v>97</v>
      </c>
      <c r="C1" s="79"/>
      <c r="D1" s="80" t="s">
        <v>89</v>
      </c>
      <c r="E1" s="81"/>
      <c r="F1" s="80" t="s">
        <v>90</v>
      </c>
      <c r="G1" s="81"/>
      <c r="H1" s="80" t="s">
        <v>91</v>
      </c>
      <c r="I1" s="81"/>
      <c r="J1" s="85" t="s">
        <v>92</v>
      </c>
      <c r="K1" s="86" t="s">
        <v>98</v>
      </c>
      <c r="L1" s="87"/>
      <c r="M1" s="87"/>
      <c r="N1" s="87"/>
      <c r="O1" s="88" t="s">
        <v>100</v>
      </c>
    </row>
    <row r="2" spans="1:15" ht="54" customHeight="1" thickBot="1" x14ac:dyDescent="0.3">
      <c r="A2" s="75" t="s">
        <v>88</v>
      </c>
      <c r="B2" s="69">
        <v>2000</v>
      </c>
      <c r="C2" s="71">
        <v>1420</v>
      </c>
      <c r="D2" s="69">
        <v>500</v>
      </c>
      <c r="E2" s="72">
        <v>1420</v>
      </c>
      <c r="F2" s="69"/>
      <c r="G2" s="72"/>
      <c r="H2" s="69"/>
      <c r="I2" s="72"/>
      <c r="J2" s="82">
        <v>2500</v>
      </c>
      <c r="K2" s="64">
        <f>+B2*C2</f>
        <v>2840000</v>
      </c>
      <c r="L2" s="62">
        <f>+D2*E2</f>
        <v>710000</v>
      </c>
      <c r="M2" s="62"/>
      <c r="N2" s="62"/>
      <c r="O2" s="65">
        <f>SUM(K2:N2)</f>
        <v>3550000</v>
      </c>
    </row>
    <row r="3" spans="1:15" ht="54" customHeight="1" thickBot="1" x14ac:dyDescent="0.3">
      <c r="A3" s="75" t="s">
        <v>93</v>
      </c>
      <c r="B3" s="69"/>
      <c r="C3" s="71"/>
      <c r="D3" s="69">
        <v>1000</v>
      </c>
      <c r="E3" s="72">
        <v>1490</v>
      </c>
      <c r="F3" s="69"/>
      <c r="G3" s="72"/>
      <c r="H3" s="69">
        <v>100</v>
      </c>
      <c r="I3" s="72">
        <f>+I5+I4+77</f>
        <v>1732.49</v>
      </c>
      <c r="J3" s="82">
        <v>1100</v>
      </c>
      <c r="K3" s="64"/>
      <c r="L3" s="62">
        <f>+D3*E3</f>
        <v>1490000</v>
      </c>
      <c r="M3" s="62"/>
      <c r="N3" s="62">
        <f>+H3*I3</f>
        <v>173249</v>
      </c>
      <c r="O3" s="65">
        <f>SUM(K3:N3)</f>
        <v>1663249</v>
      </c>
    </row>
    <row r="4" spans="1:15" ht="54" customHeight="1" thickBot="1" x14ac:dyDescent="0.3">
      <c r="A4" s="76" t="s">
        <v>94</v>
      </c>
      <c r="B4" s="69"/>
      <c r="C4" s="71"/>
      <c r="D4" s="62"/>
      <c r="E4" s="73"/>
      <c r="F4" s="62">
        <v>1700</v>
      </c>
      <c r="G4" s="73">
        <v>503.48</v>
      </c>
      <c r="H4" s="62">
        <v>500</v>
      </c>
      <c r="I4" s="73">
        <f>503.48+576</f>
        <v>1079.48</v>
      </c>
      <c r="J4" s="82">
        <v>2200</v>
      </c>
      <c r="K4" s="64"/>
      <c r="L4" s="62"/>
      <c r="M4" s="62">
        <f>+F4*G4</f>
        <v>855916</v>
      </c>
      <c r="N4" s="62">
        <f>+H4*I4</f>
        <v>539740</v>
      </c>
      <c r="O4" s="65">
        <f>SUM(K4:N4)</f>
        <v>1395656</v>
      </c>
    </row>
    <row r="5" spans="1:15" ht="54" customHeight="1" thickBot="1" x14ac:dyDescent="0.3">
      <c r="A5" s="76" t="s">
        <v>95</v>
      </c>
      <c r="B5" s="69"/>
      <c r="C5" s="71"/>
      <c r="D5" s="62"/>
      <c r="E5" s="73"/>
      <c r="F5" s="62"/>
      <c r="G5" s="73"/>
      <c r="H5" s="62">
        <v>800</v>
      </c>
      <c r="I5" s="73">
        <v>576.01</v>
      </c>
      <c r="J5" s="82">
        <v>800</v>
      </c>
      <c r="K5" s="64"/>
      <c r="L5" s="62"/>
      <c r="M5" s="62">
        <f>+H5*I5</f>
        <v>460808</v>
      </c>
      <c r="N5" s="62"/>
      <c r="O5" s="65">
        <f>SUM(K5:N5)</f>
        <v>460808</v>
      </c>
    </row>
    <row r="6" spans="1:15" ht="54" customHeight="1" thickBot="1" x14ac:dyDescent="0.3">
      <c r="A6" s="77" t="s">
        <v>96</v>
      </c>
      <c r="B6" s="69">
        <v>2000</v>
      </c>
      <c r="C6" s="71"/>
      <c r="D6" s="67">
        <v>1500</v>
      </c>
      <c r="E6" s="74"/>
      <c r="F6" s="67">
        <v>1700</v>
      </c>
      <c r="G6" s="74"/>
      <c r="H6" s="67">
        <v>1400</v>
      </c>
      <c r="I6" s="74"/>
      <c r="J6" s="83"/>
      <c r="K6" s="66"/>
      <c r="L6" s="67"/>
      <c r="M6" s="67"/>
      <c r="N6" s="67"/>
      <c r="O6" s="68"/>
    </row>
    <row r="7" spans="1:15" ht="21.75" thickBot="1" x14ac:dyDescent="0.4">
      <c r="K7" t="s">
        <v>99</v>
      </c>
      <c r="L7" s="84">
        <f>SUM(K2:N6)</f>
        <v>7069713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problema</vt:lpstr>
      <vt:lpstr>calculo</vt:lpstr>
      <vt:lpstr>matriz de costo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USUARIO</cp:lastModifiedBy>
  <dcterms:created xsi:type="dcterms:W3CDTF">2012-06-12T22:52:28Z</dcterms:created>
  <dcterms:modified xsi:type="dcterms:W3CDTF">2012-06-20T01:42:04Z</dcterms:modified>
</cp:coreProperties>
</file>