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5600" windowHeight="7935" activeTab="1"/>
  </bookViews>
  <sheets>
    <sheet name="CUBICAJE" sheetId="1" r:id="rId1"/>
    <sheet name="TIEMPOS EN BODEGA" sheetId="8" r:id="rId2"/>
    <sheet name="EQUIPOS DE CARGA " sheetId="3" r:id="rId3"/>
    <sheet name="ALMACEN" sheetId="4" r:id="rId4"/>
    <sheet name="COSTOS  DE NOMINA" sheetId="5" r:id="rId5"/>
    <sheet name="STAFF" sheetId="6" r:id="rId6"/>
    <sheet name="Hoja1" sheetId="7" r:id="rId7"/>
    <sheet name="Hoja2" sheetId="9" r:id="rId8"/>
    <sheet name="Hoja3" sheetId="10" r:id="rId9"/>
  </sheets>
  <externalReferences>
    <externalReference r:id="rId10"/>
  </externalReferences>
  <definedNames>
    <definedName name="_xlnm._FilterDatabase" localSheetId="0" hidden="1">CUBICAJE!$A$2:$P$53</definedName>
  </definedNames>
  <calcPr calcId="144525"/>
</workbook>
</file>

<file path=xl/calcChain.xml><?xml version="1.0" encoding="utf-8"?>
<calcChain xmlns="http://schemas.openxmlformats.org/spreadsheetml/2006/main">
  <c r="Z10" i="4" l="1"/>
  <c r="Y10" i="4"/>
  <c r="C24" i="8"/>
  <c r="C8" i="8"/>
  <c r="C12" i="8"/>
  <c r="C16" i="8"/>
  <c r="C32" i="8"/>
  <c r="C40" i="8"/>
  <c r="C44" i="8"/>
  <c r="C48" i="8"/>
  <c r="C55" i="8"/>
  <c r="C56" i="8"/>
  <c r="C59" i="8"/>
  <c r="C65" i="8"/>
  <c r="C66" i="8"/>
  <c r="C69" i="8"/>
  <c r="C73" i="8"/>
  <c r="C74" i="8"/>
  <c r="C77" i="8"/>
  <c r="C81" i="8"/>
  <c r="C82" i="8"/>
  <c r="C85" i="8"/>
  <c r="C89" i="8"/>
  <c r="C90" i="8"/>
  <c r="C93" i="8"/>
  <c r="C97" i="8"/>
  <c r="C98" i="8"/>
  <c r="C101" i="8"/>
  <c r="D101" i="8" s="1"/>
  <c r="F101" i="8" s="1"/>
  <c r="C105" i="8"/>
  <c r="C106" i="8"/>
  <c r="C109" i="8"/>
  <c r="C113" i="8"/>
  <c r="C114" i="8"/>
  <c r="C117" i="8"/>
  <c r="C121" i="8"/>
  <c r="C122" i="8"/>
  <c r="D122" i="8" s="1"/>
  <c r="F122" i="8" s="1"/>
  <c r="C125" i="8"/>
  <c r="C129" i="8"/>
  <c r="C130" i="8"/>
  <c r="D130" i="8" s="1"/>
  <c r="C133" i="8"/>
  <c r="D133" i="8" s="1"/>
  <c r="F133" i="8" s="1"/>
  <c r="C137" i="8"/>
  <c r="C138" i="8"/>
  <c r="C141" i="8"/>
  <c r="C28" i="8" l="1"/>
  <c r="D28" i="8" s="1"/>
  <c r="F28" i="8" s="1"/>
  <c r="F130" i="8"/>
  <c r="J130" i="8"/>
  <c r="C62" i="8"/>
  <c r="D62" i="8" s="1"/>
  <c r="J62" i="8" s="1"/>
  <c r="C5" i="8"/>
  <c r="C9" i="8"/>
  <c r="C13" i="8"/>
  <c r="C17" i="8"/>
  <c r="C21" i="8"/>
  <c r="C25" i="8"/>
  <c r="C29" i="8"/>
  <c r="C33" i="8"/>
  <c r="C37" i="8"/>
  <c r="C41" i="8"/>
  <c r="D41" i="8" s="1"/>
  <c r="F41" i="8" s="1"/>
  <c r="C45" i="8"/>
  <c r="C49" i="8"/>
  <c r="C53" i="8"/>
  <c r="C57" i="8"/>
  <c r="C63" i="8"/>
  <c r="C67" i="8"/>
  <c r="D67" i="8" s="1"/>
  <c r="F67" i="8" s="1"/>
  <c r="C71" i="8"/>
  <c r="C75" i="8"/>
  <c r="C79" i="8"/>
  <c r="D79" i="8" s="1"/>
  <c r="F79" i="8" s="1"/>
  <c r="C83" i="8"/>
  <c r="C87" i="8"/>
  <c r="C91" i="8"/>
  <c r="C95" i="8"/>
  <c r="C99" i="8"/>
  <c r="C103" i="8"/>
  <c r="C107" i="8"/>
  <c r="C111" i="8"/>
  <c r="C115" i="8"/>
  <c r="C119" i="8"/>
  <c r="C123" i="8"/>
  <c r="C127" i="8"/>
  <c r="C131" i="8"/>
  <c r="D131" i="8" s="1"/>
  <c r="J131" i="8" s="1"/>
  <c r="C135" i="8"/>
  <c r="C139" i="8"/>
  <c r="C61" i="8"/>
  <c r="D61" i="8" s="1"/>
  <c r="J61" i="8" s="1"/>
  <c r="C6" i="8"/>
  <c r="C10" i="8"/>
  <c r="C14" i="8"/>
  <c r="C18" i="8"/>
  <c r="C22" i="8"/>
  <c r="C26" i="8"/>
  <c r="C30" i="8"/>
  <c r="C34" i="8"/>
  <c r="C38" i="8"/>
  <c r="C42" i="8"/>
  <c r="C46" i="8"/>
  <c r="C50" i="8"/>
  <c r="D50" i="8" s="1"/>
  <c r="F50" i="8" s="1"/>
  <c r="C54" i="8"/>
  <c r="C58" i="8"/>
  <c r="C64" i="8"/>
  <c r="D64" i="8" s="1"/>
  <c r="F64" i="8" s="1"/>
  <c r="C68" i="8"/>
  <c r="C72" i="8"/>
  <c r="C76" i="8"/>
  <c r="C80" i="8"/>
  <c r="C84" i="8"/>
  <c r="C88" i="8"/>
  <c r="C92" i="8"/>
  <c r="D92" i="8" s="1"/>
  <c r="F92" i="8" s="1"/>
  <c r="C96" i="8"/>
  <c r="C100" i="8"/>
  <c r="C104" i="8"/>
  <c r="C108" i="8"/>
  <c r="D108" i="8" s="1"/>
  <c r="F108" i="8" s="1"/>
  <c r="C112" i="8"/>
  <c r="D112" i="8" s="1"/>
  <c r="F112" i="8" s="1"/>
  <c r="C116" i="8"/>
  <c r="D116" i="8" s="1"/>
  <c r="F116" i="8" s="1"/>
  <c r="C120" i="8"/>
  <c r="C124" i="8"/>
  <c r="C128" i="8"/>
  <c r="C132" i="8"/>
  <c r="D132" i="8" s="1"/>
  <c r="F132" i="8" s="1"/>
  <c r="C136" i="8"/>
  <c r="C140" i="8"/>
  <c r="C3" i="8"/>
  <c r="C7" i="8"/>
  <c r="C11" i="8"/>
  <c r="C15" i="8"/>
  <c r="D15" i="8" s="1"/>
  <c r="F15" i="8" s="1"/>
  <c r="C19" i="8"/>
  <c r="C23" i="8"/>
  <c r="C27" i="8"/>
  <c r="C31" i="8"/>
  <c r="C35" i="8"/>
  <c r="C39" i="8"/>
  <c r="C43" i="8"/>
  <c r="D43" i="8" s="1"/>
  <c r="F43" i="8" s="1"/>
  <c r="C47" i="8"/>
  <c r="C51" i="8"/>
  <c r="C2" i="8"/>
  <c r="D2" i="8" s="1"/>
  <c r="F2" i="8" s="1"/>
  <c r="C134" i="8"/>
  <c r="D134" i="8" s="1"/>
  <c r="C126" i="8"/>
  <c r="C118" i="8"/>
  <c r="C110" i="8"/>
  <c r="C102" i="8"/>
  <c r="C94" i="8"/>
  <c r="C86" i="8"/>
  <c r="C78" i="8"/>
  <c r="D78" i="8" s="1"/>
  <c r="F78" i="8" s="1"/>
  <c r="C70" i="8"/>
  <c r="C60" i="8"/>
  <c r="D60" i="8" s="1"/>
  <c r="H60" i="8" s="1"/>
  <c r="C52" i="8"/>
  <c r="C36" i="8"/>
  <c r="C20" i="8"/>
  <c r="C4" i="8"/>
  <c r="J64" i="8"/>
  <c r="J133" i="8"/>
  <c r="J60" i="8"/>
  <c r="H130" i="8"/>
  <c r="H133" i="8"/>
  <c r="H112" i="8"/>
  <c r="H132" i="8" l="1"/>
  <c r="J132" i="8"/>
  <c r="H78" i="8"/>
  <c r="J78" i="8"/>
  <c r="H41" i="8"/>
  <c r="H15" i="8"/>
  <c r="J15" i="8"/>
  <c r="F134" i="8"/>
  <c r="J134" i="8"/>
  <c r="H134" i="8"/>
  <c r="H64" i="8"/>
  <c r="J41" i="8"/>
  <c r="B123" i="8" l="1"/>
  <c r="D123" i="8" s="1"/>
  <c r="F123" i="8" s="1"/>
  <c r="B117" i="8"/>
  <c r="B113" i="8"/>
  <c r="D113" i="8" s="1"/>
  <c r="B109" i="8"/>
  <c r="B102" i="8"/>
  <c r="B93" i="8"/>
  <c r="B135" i="8"/>
  <c r="B80" i="8"/>
  <c r="D80" i="8" s="1"/>
  <c r="J80" i="8" s="1"/>
  <c r="H113" i="8" l="1"/>
  <c r="J113" i="8"/>
  <c r="F80" i="8"/>
  <c r="H80" i="8"/>
  <c r="B118" i="8"/>
  <c r="D117" i="8"/>
  <c r="F117" i="8" s="1"/>
  <c r="B103" i="8"/>
  <c r="D102" i="8"/>
  <c r="F102" i="8" s="1"/>
  <c r="B110" i="8"/>
  <c r="D110" i="8" s="1"/>
  <c r="F110" i="8" s="1"/>
  <c r="D109" i="8"/>
  <c r="F109" i="8" s="1"/>
  <c r="B94" i="8"/>
  <c r="D93" i="8"/>
  <c r="F93" i="8" s="1"/>
  <c r="B136" i="8"/>
  <c r="D135" i="8"/>
  <c r="J135" i="8" s="1"/>
  <c r="B114" i="8"/>
  <c r="D114" i="8" s="1"/>
  <c r="J114" i="8" s="1"/>
  <c r="B81" i="8"/>
  <c r="B124" i="8"/>
  <c r="B111" i="8"/>
  <c r="D111" i="8" s="1"/>
  <c r="F111" i="8" s="1"/>
  <c r="B42" i="8"/>
  <c r="D42" i="8" s="1"/>
  <c r="J42" i="8" s="1"/>
  <c r="B29" i="8"/>
  <c r="D29" i="8" s="1"/>
  <c r="J29" i="8" s="1"/>
  <c r="B16" i="8"/>
  <c r="D16" i="8" s="1"/>
  <c r="F16" i="8" s="1"/>
  <c r="A15" i="8"/>
  <c r="A16" i="8" s="1"/>
  <c r="A19" i="8" s="1"/>
  <c r="A38" i="8" s="1"/>
  <c r="A13" i="8"/>
  <c r="A10" i="8"/>
  <c r="A11" i="8" s="1"/>
  <c r="A7" i="8"/>
  <c r="A5" i="8"/>
  <c r="B3" i="8"/>
  <c r="D3" i="8" s="1"/>
  <c r="J3" i="8" l="1"/>
  <c r="H3" i="8"/>
  <c r="F135" i="8"/>
  <c r="H135" i="8"/>
  <c r="F29" i="8"/>
  <c r="H29" i="8"/>
  <c r="B125" i="8"/>
  <c r="D125" i="8" s="1"/>
  <c r="F125" i="8" s="1"/>
  <c r="D124" i="8"/>
  <c r="F124" i="8" s="1"/>
  <c r="B95" i="8"/>
  <c r="D94" i="8"/>
  <c r="F94" i="8" s="1"/>
  <c r="B82" i="8"/>
  <c r="D82" i="8" s="1"/>
  <c r="J82" i="8" s="1"/>
  <c r="D81" i="8"/>
  <c r="J81" i="8" s="1"/>
  <c r="B137" i="8"/>
  <c r="D136" i="8"/>
  <c r="J136" i="8" s="1"/>
  <c r="B104" i="8"/>
  <c r="D103" i="8"/>
  <c r="F103" i="8" s="1"/>
  <c r="B4" i="8"/>
  <c r="D4" i="8" s="1"/>
  <c r="J4" i="8" s="1"/>
  <c r="F3" i="8"/>
  <c r="B119" i="8"/>
  <c r="D118" i="8"/>
  <c r="F118" i="8" s="1"/>
  <c r="X11" i="4"/>
  <c r="X12" i="4" s="1"/>
  <c r="B115" i="8"/>
  <c r="D115" i="8" s="1"/>
  <c r="J115" i="8" s="1"/>
  <c r="B126" i="8"/>
  <c r="D126" i="8" s="1"/>
  <c r="B17" i="8"/>
  <c r="D17" i="8" s="1"/>
  <c r="J17" i="8" s="1"/>
  <c r="B30" i="8"/>
  <c r="D30" i="8" s="1"/>
  <c r="J30" i="8" s="1"/>
  <c r="B44" i="8"/>
  <c r="D44" i="8" s="1"/>
  <c r="Y15" i="4"/>
  <c r="Y16" i="4" s="1"/>
  <c r="Y17" i="4" s="1"/>
  <c r="H44" i="8" l="1"/>
  <c r="J44" i="8"/>
  <c r="F126" i="8"/>
  <c r="H126" i="8"/>
  <c r="F82" i="8"/>
  <c r="H82" i="8"/>
  <c r="F136" i="8"/>
  <c r="H136" i="8"/>
  <c r="F17" i="8"/>
  <c r="H17" i="8"/>
  <c r="B138" i="8"/>
  <c r="D137" i="8"/>
  <c r="J137" i="8" s="1"/>
  <c r="B96" i="8"/>
  <c r="D95" i="8"/>
  <c r="F95" i="8" s="1"/>
  <c r="B83" i="8"/>
  <c r="D83" i="8" s="1"/>
  <c r="J83" i="8" s="1"/>
  <c r="B5" i="8"/>
  <c r="D5" i="8" s="1"/>
  <c r="B120" i="8"/>
  <c r="D119" i="8"/>
  <c r="B105" i="8"/>
  <c r="D104" i="8"/>
  <c r="B127" i="8"/>
  <c r="D127" i="8" s="1"/>
  <c r="B31" i="8"/>
  <c r="D31" i="8" s="1"/>
  <c r="F31" i="8" s="1"/>
  <c r="B45" i="8"/>
  <c r="D45" i="8" s="1"/>
  <c r="J45" i="8" s="1"/>
  <c r="B18" i="8"/>
  <c r="D18" i="8" s="1"/>
  <c r="J18" i="8" s="1"/>
  <c r="B6" i="8"/>
  <c r="D6" i="8" s="1"/>
  <c r="J6" i="8" s="1"/>
  <c r="Y18" i="4"/>
  <c r="C9" i="6"/>
  <c r="B9" i="6"/>
  <c r="D8" i="6"/>
  <c r="D7" i="6"/>
  <c r="D9" i="6" s="1"/>
  <c r="O20" i="5"/>
  <c r="K20" i="5"/>
  <c r="J20" i="5"/>
  <c r="H20" i="5"/>
  <c r="L18" i="5"/>
  <c r="G18" i="5"/>
  <c r="F18" i="5"/>
  <c r="M18" i="5" s="1"/>
  <c r="M17" i="5"/>
  <c r="G17" i="5"/>
  <c r="L17" i="5" s="1"/>
  <c r="Q17" i="5" s="1"/>
  <c r="F17" i="5"/>
  <c r="N17" i="5" s="1"/>
  <c r="P17" i="5" s="1"/>
  <c r="G16" i="5"/>
  <c r="F16" i="5"/>
  <c r="N16" i="5" s="1"/>
  <c r="E15" i="5"/>
  <c r="B15" i="5"/>
  <c r="F15" i="5" s="1"/>
  <c r="G14" i="5"/>
  <c r="B14" i="5"/>
  <c r="F14" i="5" s="1"/>
  <c r="G13" i="5"/>
  <c r="B13" i="5"/>
  <c r="F13" i="5" s="1"/>
  <c r="E12" i="5"/>
  <c r="B12" i="5"/>
  <c r="C12" i="5" s="1"/>
  <c r="G12" i="5" s="1"/>
  <c r="M11" i="5"/>
  <c r="F11" i="5"/>
  <c r="N11" i="5" s="1"/>
  <c r="P11" i="5" s="1"/>
  <c r="C11" i="5"/>
  <c r="G11" i="5" s="1"/>
  <c r="B11" i="5"/>
  <c r="B10" i="5"/>
  <c r="F10" i="5" s="1"/>
  <c r="C9" i="5"/>
  <c r="G9" i="5" s="1"/>
  <c r="B9" i="5"/>
  <c r="F9" i="5" s="1"/>
  <c r="F8" i="5"/>
  <c r="N8" i="5" s="1"/>
  <c r="E8" i="5"/>
  <c r="C8" i="5"/>
  <c r="G8" i="5" s="1"/>
  <c r="B8" i="5"/>
  <c r="F7" i="5"/>
  <c r="L7" i="5" s="1"/>
  <c r="E7" i="5"/>
  <c r="C7" i="5"/>
  <c r="G7" i="5" s="1"/>
  <c r="B7" i="5"/>
  <c r="K6" i="5"/>
  <c r="I6" i="5"/>
  <c r="I20" i="5" s="1"/>
  <c r="F6" i="5"/>
  <c r="E6" i="5"/>
  <c r="C6" i="5"/>
  <c r="G6" i="5" s="1"/>
  <c r="B6" i="5"/>
  <c r="E1" i="5"/>
  <c r="H127" i="8" l="1"/>
  <c r="J127" i="8"/>
  <c r="F119" i="8"/>
  <c r="H119" i="8"/>
  <c r="F104" i="8"/>
  <c r="H104" i="8"/>
  <c r="F5" i="8"/>
  <c r="H5" i="8"/>
  <c r="F137" i="8"/>
  <c r="H137" i="8"/>
  <c r="B84" i="8"/>
  <c r="D84" i="8" s="1"/>
  <c r="J84" i="8" s="1"/>
  <c r="B121" i="8"/>
  <c r="D121" i="8" s="1"/>
  <c r="J121" i="8" s="1"/>
  <c r="D120" i="8"/>
  <c r="J120" i="8" s="1"/>
  <c r="D96" i="8"/>
  <c r="B97" i="8"/>
  <c r="B106" i="8"/>
  <c r="D105" i="8"/>
  <c r="B139" i="8"/>
  <c r="D138" i="8"/>
  <c r="J138" i="8" s="1"/>
  <c r="B128" i="8"/>
  <c r="D128" i="8" s="1"/>
  <c r="J128" i="8" s="1"/>
  <c r="B46" i="8"/>
  <c r="D46" i="8" s="1"/>
  <c r="F46" i="8" s="1"/>
  <c r="B19" i="8"/>
  <c r="D19" i="8" s="1"/>
  <c r="F19" i="8" s="1"/>
  <c r="B32" i="8"/>
  <c r="D32" i="8" s="1"/>
  <c r="F32" i="8" s="1"/>
  <c r="B7" i="8"/>
  <c r="D7" i="8" s="1"/>
  <c r="J7" i="8" s="1"/>
  <c r="N10" i="5"/>
  <c r="M10" i="5"/>
  <c r="L14" i="5"/>
  <c r="N14" i="5"/>
  <c r="M14" i="5"/>
  <c r="L9" i="5"/>
  <c r="N9" i="5"/>
  <c r="M9" i="5"/>
  <c r="P18" i="5"/>
  <c r="Q18" i="5" s="1"/>
  <c r="L13" i="5"/>
  <c r="N13" i="5"/>
  <c r="M13" i="5"/>
  <c r="P13" i="5" s="1"/>
  <c r="N15" i="5"/>
  <c r="M15" i="5"/>
  <c r="P15" i="5" s="1"/>
  <c r="N6" i="5"/>
  <c r="L16" i="5"/>
  <c r="N18" i="5"/>
  <c r="M7" i="5"/>
  <c r="C10" i="5"/>
  <c r="G10" i="5" s="1"/>
  <c r="L10" i="5" s="1"/>
  <c r="L11" i="5"/>
  <c r="Q11" i="5" s="1"/>
  <c r="F12" i="5"/>
  <c r="C15" i="5"/>
  <c r="G15" i="5" s="1"/>
  <c r="L15" i="5" s="1"/>
  <c r="Q15" i="5" s="1"/>
  <c r="M16" i="5"/>
  <c r="P16" i="5" s="1"/>
  <c r="L8" i="5"/>
  <c r="L6" i="5"/>
  <c r="N7" i="5"/>
  <c r="M6" i="5"/>
  <c r="M8" i="5"/>
  <c r="P8" i="5" s="1"/>
  <c r="H105" i="8" l="1"/>
  <c r="J105" i="8"/>
  <c r="F138" i="8"/>
  <c r="H138" i="8"/>
  <c r="F84" i="8"/>
  <c r="H84" i="8"/>
  <c r="F96" i="8"/>
  <c r="H96" i="8"/>
  <c r="F7" i="8"/>
  <c r="H7" i="8"/>
  <c r="B85" i="8"/>
  <c r="D85" i="8" s="1"/>
  <c r="J85" i="8" s="1"/>
  <c r="B107" i="8"/>
  <c r="D107" i="8" s="1"/>
  <c r="J107" i="8" s="1"/>
  <c r="D106" i="8"/>
  <c r="J106" i="8" s="1"/>
  <c r="B98" i="8"/>
  <c r="D97" i="8"/>
  <c r="B140" i="8"/>
  <c r="D139" i="8"/>
  <c r="J139" i="8" s="1"/>
  <c r="B129" i="8"/>
  <c r="D129" i="8" s="1"/>
  <c r="J129" i="8" s="1"/>
  <c r="B20" i="8"/>
  <c r="D20" i="8" s="1"/>
  <c r="B33" i="8"/>
  <c r="D33" i="8" s="1"/>
  <c r="J33" i="8" s="1"/>
  <c r="B47" i="8"/>
  <c r="D47" i="8" s="1"/>
  <c r="B8" i="8"/>
  <c r="D8" i="8" s="1"/>
  <c r="J8" i="8" s="1"/>
  <c r="Q10" i="5"/>
  <c r="P6" i="5"/>
  <c r="P20" i="5" s="1"/>
  <c r="P7" i="5"/>
  <c r="Q7" i="5" s="1"/>
  <c r="P9" i="5"/>
  <c r="P14" i="5"/>
  <c r="N20" i="5"/>
  <c r="G20" i="5"/>
  <c r="L12" i="5"/>
  <c r="Q12" i="5" s="1"/>
  <c r="N12" i="5"/>
  <c r="M12" i="5"/>
  <c r="P12" i="5" s="1"/>
  <c r="Q13" i="5"/>
  <c r="Q8" i="5"/>
  <c r="Q16" i="5"/>
  <c r="F20" i="5"/>
  <c r="Q9" i="5"/>
  <c r="Q14" i="5"/>
  <c r="P10" i="5"/>
  <c r="X6" i="4"/>
  <c r="X2" i="4"/>
  <c r="H20" i="8" l="1"/>
  <c r="J20" i="8"/>
  <c r="H97" i="8"/>
  <c r="J97" i="8"/>
  <c r="F8" i="8"/>
  <c r="H8" i="8"/>
  <c r="F47" i="8"/>
  <c r="H47" i="8"/>
  <c r="B86" i="8"/>
  <c r="D86" i="8" s="1"/>
  <c r="F86" i="8" s="1"/>
  <c r="F33" i="8"/>
  <c r="H33" i="8"/>
  <c r="F139" i="8"/>
  <c r="H139" i="8"/>
  <c r="D98" i="8"/>
  <c r="J98" i="8" s="1"/>
  <c r="B99" i="8"/>
  <c r="B141" i="8"/>
  <c r="D141" i="8" s="1"/>
  <c r="J141" i="8" s="1"/>
  <c r="D140" i="8"/>
  <c r="J140" i="8" s="1"/>
  <c r="B34" i="8"/>
  <c r="D34" i="8" s="1"/>
  <c r="J34" i="8" s="1"/>
  <c r="B48" i="8"/>
  <c r="D48" i="8" s="1"/>
  <c r="J48" i="8" s="1"/>
  <c r="B21" i="8"/>
  <c r="D21" i="8" s="1"/>
  <c r="F21" i="8" s="1"/>
  <c r="B9" i="8"/>
  <c r="D9" i="8" s="1"/>
  <c r="J9" i="8" s="1"/>
  <c r="C36" i="5"/>
  <c r="B30" i="5"/>
  <c r="B25" i="5"/>
  <c r="C35" i="5"/>
  <c r="B29" i="5"/>
  <c r="C34" i="5"/>
  <c r="B28" i="5"/>
  <c r="C37" i="5"/>
  <c r="Q6" i="5"/>
  <c r="Q20" i="5" s="1"/>
  <c r="L20" i="5"/>
  <c r="M20" i="5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M4" i="1"/>
  <c r="M5" i="1"/>
  <c r="N5" i="1" s="1"/>
  <c r="M6" i="1"/>
  <c r="M7" i="1"/>
  <c r="N7" i="1" s="1"/>
  <c r="M8" i="1"/>
  <c r="M9" i="1"/>
  <c r="N9" i="1" s="1"/>
  <c r="M10" i="1"/>
  <c r="M11" i="1"/>
  <c r="N11" i="1" s="1"/>
  <c r="M12" i="1"/>
  <c r="M13" i="1"/>
  <c r="N13" i="1" s="1"/>
  <c r="M14" i="1"/>
  <c r="M15" i="1"/>
  <c r="N15" i="1" s="1"/>
  <c r="M16" i="1"/>
  <c r="N16" i="1" s="1"/>
  <c r="M17" i="1"/>
  <c r="N17" i="1" s="1"/>
  <c r="M18" i="1"/>
  <c r="N18" i="1" s="1"/>
  <c r="M19" i="1"/>
  <c r="N19" i="1" s="1"/>
  <c r="M20" i="1"/>
  <c r="N20" i="1" s="1"/>
  <c r="M21" i="1"/>
  <c r="N21" i="1" s="1"/>
  <c r="M22" i="1"/>
  <c r="N22" i="1" s="1"/>
  <c r="M23" i="1"/>
  <c r="N23" i="1" s="1"/>
  <c r="M24" i="1"/>
  <c r="N24" i="1" s="1"/>
  <c r="M25" i="1"/>
  <c r="N25" i="1" s="1"/>
  <c r="M26" i="1"/>
  <c r="N26" i="1" s="1"/>
  <c r="M27" i="1"/>
  <c r="N27" i="1" s="1"/>
  <c r="M28" i="1"/>
  <c r="N28" i="1" s="1"/>
  <c r="M29" i="1"/>
  <c r="N29" i="1" s="1"/>
  <c r="M30" i="1"/>
  <c r="N30" i="1" s="1"/>
  <c r="M31" i="1"/>
  <c r="N31" i="1" s="1"/>
  <c r="M32" i="1"/>
  <c r="N32" i="1" s="1"/>
  <c r="M33" i="1"/>
  <c r="N33" i="1" s="1"/>
  <c r="M34" i="1"/>
  <c r="N34" i="1" s="1"/>
  <c r="M35" i="1"/>
  <c r="N35" i="1" s="1"/>
  <c r="M36" i="1"/>
  <c r="N36" i="1" s="1"/>
  <c r="M37" i="1"/>
  <c r="N37" i="1" s="1"/>
  <c r="M38" i="1"/>
  <c r="N38" i="1" s="1"/>
  <c r="M39" i="1"/>
  <c r="N39" i="1" s="1"/>
  <c r="M40" i="1"/>
  <c r="N40" i="1" s="1"/>
  <c r="E39" i="8" s="1"/>
  <c r="M41" i="1"/>
  <c r="N41" i="1" s="1"/>
  <c r="M42" i="1"/>
  <c r="N42" i="1" s="1"/>
  <c r="M43" i="1"/>
  <c r="N43" i="1" s="1"/>
  <c r="M44" i="1"/>
  <c r="N44" i="1" s="1"/>
  <c r="M45" i="1"/>
  <c r="N45" i="1" s="1"/>
  <c r="E44" i="8" s="1"/>
  <c r="F44" i="8" s="1"/>
  <c r="M46" i="1"/>
  <c r="N46" i="1" s="1"/>
  <c r="M47" i="1"/>
  <c r="N47" i="1" s="1"/>
  <c r="M48" i="1"/>
  <c r="N48" i="1" s="1"/>
  <c r="M49" i="1"/>
  <c r="N49" i="1" s="1"/>
  <c r="M50" i="1"/>
  <c r="N50" i="1" s="1"/>
  <c r="M3" i="1"/>
  <c r="N3" i="1" s="1"/>
  <c r="K3" i="1"/>
  <c r="F140" i="8" l="1"/>
  <c r="H140" i="8"/>
  <c r="F141" i="8"/>
  <c r="H141" i="8"/>
  <c r="B87" i="8"/>
  <c r="D87" i="8" s="1"/>
  <c r="D99" i="8"/>
  <c r="J99" i="8" s="1"/>
  <c r="B100" i="8"/>
  <c r="D100" i="8" s="1"/>
  <c r="J100" i="8" s="1"/>
  <c r="B49" i="8"/>
  <c r="D49" i="8" s="1"/>
  <c r="J49" i="8" s="1"/>
  <c r="B22" i="8"/>
  <c r="D22" i="8" s="1"/>
  <c r="J22" i="8" s="1"/>
  <c r="B35" i="8"/>
  <c r="D35" i="8" s="1"/>
  <c r="J35" i="8" s="1"/>
  <c r="B63" i="8"/>
  <c r="D63" i="8" s="1"/>
  <c r="F63" i="8" s="1"/>
  <c r="O3" i="1"/>
  <c r="P3" i="1" s="1"/>
  <c r="B10" i="8"/>
  <c r="D10" i="8" s="1"/>
  <c r="J10" i="8" s="1"/>
  <c r="B32" i="5"/>
  <c r="F26" i="5"/>
  <c r="N14" i="1"/>
  <c r="N10" i="1"/>
  <c r="N6" i="1"/>
  <c r="N12" i="1"/>
  <c r="N8" i="1"/>
  <c r="N4" i="1"/>
  <c r="F87" i="8" l="1"/>
  <c r="H87" i="8"/>
  <c r="B88" i="8"/>
  <c r="D88" i="8" s="1"/>
  <c r="F10" i="8"/>
  <c r="H10" i="8"/>
  <c r="F22" i="8"/>
  <c r="H22" i="8"/>
  <c r="B23" i="8"/>
  <c r="D23" i="8" s="1"/>
  <c r="J23" i="8" s="1"/>
  <c r="B36" i="8"/>
  <c r="D36" i="8" s="1"/>
  <c r="J36" i="8" s="1"/>
  <c r="B51" i="8"/>
  <c r="D51" i="8" s="1"/>
  <c r="B65" i="8"/>
  <c r="D65" i="8" s="1"/>
  <c r="J65" i="8" s="1"/>
  <c r="B11" i="8"/>
  <c r="D11" i="8" s="1"/>
  <c r="J11" i="8" s="1"/>
  <c r="K50" i="1"/>
  <c r="O50" i="1" s="1"/>
  <c r="P50" i="1" s="1"/>
  <c r="K49" i="1"/>
  <c r="O49" i="1" s="1"/>
  <c r="P49" i="1" s="1"/>
  <c r="K48" i="1"/>
  <c r="O48" i="1" s="1"/>
  <c r="P48" i="1" s="1"/>
  <c r="K47" i="1"/>
  <c r="O47" i="1" s="1"/>
  <c r="P47" i="1" s="1"/>
  <c r="K46" i="1"/>
  <c r="O46" i="1" s="1"/>
  <c r="P46" i="1" s="1"/>
  <c r="K45" i="1"/>
  <c r="O45" i="1" s="1"/>
  <c r="P45" i="1" s="1"/>
  <c r="K44" i="1"/>
  <c r="O44" i="1" s="1"/>
  <c r="P44" i="1" s="1"/>
  <c r="K43" i="1"/>
  <c r="O43" i="1" s="1"/>
  <c r="P43" i="1" s="1"/>
  <c r="K42" i="1"/>
  <c r="O42" i="1" s="1"/>
  <c r="P42" i="1" s="1"/>
  <c r="K41" i="1"/>
  <c r="O41" i="1" s="1"/>
  <c r="P41" i="1" s="1"/>
  <c r="K40" i="1"/>
  <c r="O40" i="1" s="1"/>
  <c r="P40" i="1" s="1"/>
  <c r="K39" i="1"/>
  <c r="O39" i="1" s="1"/>
  <c r="P39" i="1" s="1"/>
  <c r="K38" i="1"/>
  <c r="O38" i="1" s="1"/>
  <c r="P38" i="1" s="1"/>
  <c r="K37" i="1"/>
  <c r="O37" i="1" s="1"/>
  <c r="P37" i="1" s="1"/>
  <c r="K36" i="1"/>
  <c r="O36" i="1" s="1"/>
  <c r="P36" i="1" s="1"/>
  <c r="K35" i="1"/>
  <c r="K34" i="1"/>
  <c r="O34" i="1" s="1"/>
  <c r="P34" i="1" s="1"/>
  <c r="K33" i="1"/>
  <c r="O33" i="1" s="1"/>
  <c r="P33" i="1" s="1"/>
  <c r="K32" i="1"/>
  <c r="O32" i="1" s="1"/>
  <c r="P32" i="1" s="1"/>
  <c r="K31" i="1"/>
  <c r="O31" i="1" s="1"/>
  <c r="P31" i="1" s="1"/>
  <c r="K30" i="1"/>
  <c r="O30" i="1" s="1"/>
  <c r="P30" i="1" s="1"/>
  <c r="K29" i="1"/>
  <c r="O29" i="1" s="1"/>
  <c r="P29" i="1" s="1"/>
  <c r="K28" i="1"/>
  <c r="O28" i="1" s="1"/>
  <c r="P28" i="1" s="1"/>
  <c r="K27" i="1"/>
  <c r="O27" i="1" s="1"/>
  <c r="P27" i="1" s="1"/>
  <c r="K26" i="1"/>
  <c r="O26" i="1" s="1"/>
  <c r="P26" i="1" s="1"/>
  <c r="K25" i="1"/>
  <c r="O25" i="1" s="1"/>
  <c r="P25" i="1" s="1"/>
  <c r="K24" i="1"/>
  <c r="O24" i="1" s="1"/>
  <c r="P24" i="1" s="1"/>
  <c r="K23" i="1"/>
  <c r="O23" i="1" s="1"/>
  <c r="P23" i="1" s="1"/>
  <c r="K22" i="1"/>
  <c r="O22" i="1" s="1"/>
  <c r="P22" i="1" s="1"/>
  <c r="K21" i="1"/>
  <c r="O21" i="1" s="1"/>
  <c r="P21" i="1" s="1"/>
  <c r="K20" i="1"/>
  <c r="O20" i="1" s="1"/>
  <c r="P20" i="1" s="1"/>
  <c r="K19" i="1"/>
  <c r="O19" i="1" s="1"/>
  <c r="P19" i="1" s="1"/>
  <c r="K18" i="1"/>
  <c r="O18" i="1" s="1"/>
  <c r="P18" i="1" s="1"/>
  <c r="K17" i="1"/>
  <c r="O17" i="1" s="1"/>
  <c r="P17" i="1" s="1"/>
  <c r="K16" i="1"/>
  <c r="O16" i="1" s="1"/>
  <c r="P16" i="1" s="1"/>
  <c r="K15" i="1"/>
  <c r="O15" i="1" s="1"/>
  <c r="P15" i="1" s="1"/>
  <c r="K14" i="1"/>
  <c r="O14" i="1" s="1"/>
  <c r="P14" i="1" s="1"/>
  <c r="K13" i="1"/>
  <c r="O13" i="1" s="1"/>
  <c r="P13" i="1" s="1"/>
  <c r="K12" i="1"/>
  <c r="O12" i="1" s="1"/>
  <c r="P12" i="1" s="1"/>
  <c r="K11" i="1"/>
  <c r="O11" i="1" s="1"/>
  <c r="P11" i="1" s="1"/>
  <c r="K10" i="1"/>
  <c r="O10" i="1" s="1"/>
  <c r="P10" i="1" s="1"/>
  <c r="K9" i="1"/>
  <c r="O9" i="1" s="1"/>
  <c r="P9" i="1" s="1"/>
  <c r="K8" i="1"/>
  <c r="O8" i="1" s="1"/>
  <c r="P8" i="1" s="1"/>
  <c r="K7" i="1"/>
  <c r="O7" i="1" s="1"/>
  <c r="P7" i="1" s="1"/>
  <c r="K6" i="1"/>
  <c r="O6" i="1" s="1"/>
  <c r="P6" i="1" s="1"/>
  <c r="K5" i="1"/>
  <c r="O5" i="1" s="1"/>
  <c r="P5" i="1" s="1"/>
  <c r="K4" i="1"/>
  <c r="H88" i="8" l="1"/>
  <c r="J88" i="8"/>
  <c r="B89" i="8"/>
  <c r="D89" i="8" s="1"/>
  <c r="J89" i="8" s="1"/>
  <c r="F11" i="8"/>
  <c r="H11" i="8"/>
  <c r="F51" i="8"/>
  <c r="H51" i="8"/>
  <c r="F36" i="8"/>
  <c r="H36" i="8"/>
  <c r="B37" i="8"/>
  <c r="D37" i="8" s="1"/>
  <c r="J37" i="8" s="1"/>
  <c r="B52" i="8"/>
  <c r="D52" i="8" s="1"/>
  <c r="B24" i="8"/>
  <c r="D24" i="8" s="1"/>
  <c r="F24" i="8" s="1"/>
  <c r="B66" i="8"/>
  <c r="D66" i="8" s="1"/>
  <c r="J66" i="8" s="1"/>
  <c r="O35" i="1"/>
  <c r="O52" i="1" s="1"/>
  <c r="K52" i="1"/>
  <c r="L52" i="1" s="1"/>
  <c r="M52" i="1" s="1"/>
  <c r="O4" i="1"/>
  <c r="P4" i="1" s="1"/>
  <c r="K51" i="1"/>
  <c r="B12" i="8"/>
  <c r="D12" i="8" s="1"/>
  <c r="J12" i="8" s="1"/>
  <c r="P35" i="1"/>
  <c r="P52" i="1" s="1"/>
  <c r="H52" i="8" l="1"/>
  <c r="J52" i="8"/>
  <c r="B90" i="8"/>
  <c r="D90" i="8" s="1"/>
  <c r="J90" i="8" s="1"/>
  <c r="F37" i="8"/>
  <c r="H37" i="8"/>
  <c r="K53" i="1"/>
  <c r="L53" i="1" s="1"/>
  <c r="M53" i="1" s="1"/>
  <c r="M54" i="1" s="1"/>
  <c r="B53" i="8"/>
  <c r="D53" i="8" s="1"/>
  <c r="J53" i="8" s="1"/>
  <c r="B25" i="8"/>
  <c r="D25" i="8" s="1"/>
  <c r="J25" i="8" s="1"/>
  <c r="B38" i="8"/>
  <c r="D38" i="8" s="1"/>
  <c r="J38" i="8" s="1"/>
  <c r="B68" i="8"/>
  <c r="D68" i="8" s="1"/>
  <c r="F68" i="8" s="1"/>
  <c r="O51" i="1"/>
  <c r="O53" i="1" s="1"/>
  <c r="B13" i="8"/>
  <c r="D13" i="8" s="1"/>
  <c r="J13" i="8" s="1"/>
  <c r="P51" i="1"/>
  <c r="P53" i="1" s="1"/>
  <c r="B91" i="8" l="1"/>
  <c r="D91" i="8" s="1"/>
  <c r="J91" i="8" s="1"/>
  <c r="F38" i="8"/>
  <c r="H38" i="8"/>
  <c r="F13" i="8"/>
  <c r="H13" i="8"/>
  <c r="F25" i="8"/>
  <c r="H25" i="8"/>
  <c r="B26" i="8"/>
  <c r="D26" i="8" s="1"/>
  <c r="B39" i="8"/>
  <c r="D39" i="8" s="1"/>
  <c r="J39" i="8" s="1"/>
  <c r="B54" i="8"/>
  <c r="D54" i="8" s="1"/>
  <c r="J54" i="8" s="1"/>
  <c r="B69" i="8"/>
  <c r="D69" i="8" s="1"/>
  <c r="F69" i="8" s="1"/>
  <c r="B14" i="8"/>
  <c r="D14" i="8" s="1"/>
  <c r="J14" i="8" s="1"/>
  <c r="F39" i="8" l="1"/>
  <c r="H39" i="8"/>
  <c r="F26" i="8"/>
  <c r="H26" i="8"/>
  <c r="B40" i="8"/>
  <c r="D40" i="8" s="1"/>
  <c r="J40" i="8" s="1"/>
  <c r="B55" i="8"/>
  <c r="D55" i="8" s="1"/>
  <c r="F55" i="8" s="1"/>
  <c r="B27" i="8"/>
  <c r="D27" i="8" s="1"/>
  <c r="J27" i="8" s="1"/>
  <c r="B70" i="8"/>
  <c r="D70" i="8" s="1"/>
  <c r="F70" i="8" l="1"/>
  <c r="H70" i="8"/>
  <c r="B56" i="8"/>
  <c r="D56" i="8" s="1"/>
  <c r="F56" i="8" s="1"/>
  <c r="B71" i="8"/>
  <c r="D71" i="8" s="1"/>
  <c r="J71" i="8" s="1"/>
  <c r="B57" i="8" l="1"/>
  <c r="D57" i="8" s="1"/>
  <c r="F57" i="8" s="1"/>
  <c r="B72" i="8"/>
  <c r="D72" i="8" s="1"/>
  <c r="J72" i="8" s="1"/>
  <c r="B58" i="8" l="1"/>
  <c r="D58" i="8" s="1"/>
  <c r="F58" i="8" s="1"/>
  <c r="B73" i="8"/>
  <c r="D73" i="8" s="1"/>
  <c r="J73" i="8" s="1"/>
  <c r="B59" i="8" l="1"/>
  <c r="D59" i="8" s="1"/>
  <c r="H59" i="8" s="1"/>
  <c r="B74" i="8"/>
  <c r="D74" i="8" s="1"/>
  <c r="F74" i="8" s="1"/>
  <c r="F142" i="8" s="1"/>
  <c r="B75" i="8" l="1"/>
  <c r="D75" i="8" s="1"/>
  <c r="H75" i="8" l="1"/>
  <c r="H142" i="8" s="1"/>
  <c r="J75" i="8"/>
  <c r="B76" i="8"/>
  <c r="D76" i="8" s="1"/>
  <c r="J76" i="8" s="1"/>
  <c r="B77" i="8" l="1"/>
  <c r="D77" i="8" s="1"/>
  <c r="J77" i="8" s="1"/>
  <c r="J142" i="8" s="1"/>
  <c r="K2" i="8" s="1"/>
  <c r="K3" i="8" s="1"/>
  <c r="K4" i="8" s="1"/>
</calcChain>
</file>

<file path=xl/sharedStrings.xml><?xml version="1.0" encoding="utf-8"?>
<sst xmlns="http://schemas.openxmlformats.org/spreadsheetml/2006/main" count="464" uniqueCount="238">
  <si>
    <t>CODIGO</t>
  </si>
  <si>
    <t>PRODUCTO</t>
  </si>
  <si>
    <t>BONBOMBUM</t>
  </si>
  <si>
    <t>BONBOMBUM SIN RELLENO SABORES SURTIDOS</t>
  </si>
  <si>
    <t>POLVOS AZUCARADOS BIPBIP FRIO</t>
  </si>
  <si>
    <t>DULCE FRUTICAS</t>
  </si>
  <si>
    <t>DULCES DUROS</t>
  </si>
  <si>
    <t>DULCES DE CAFÉ DUROS</t>
  </si>
  <si>
    <t>WAFER BRIDGE MINITACO FRESA</t>
  </si>
  <si>
    <t>WAFER BRIDGE MINITACO VAINILLA</t>
  </si>
  <si>
    <t>WAFER NUCITA CUBIERTA DE CHOCOLATE</t>
  </si>
  <si>
    <t>MUUU GALLETA DE CHOCOLATE</t>
  </si>
  <si>
    <t>PIAZZA CHOCOLATE</t>
  </si>
  <si>
    <t>PIAZZA FRESA</t>
  </si>
  <si>
    <t>PONKY PONQUE</t>
  </si>
  <si>
    <t>CRAQUEÑAS GALLETAS SALTIN TACO</t>
  </si>
  <si>
    <t>NUCITA</t>
  </si>
  <si>
    <t>BARRA DE CHOCOLATE KICK</t>
  </si>
  <si>
    <t>CHOCO BREAK</t>
  </si>
  <si>
    <t xml:space="preserve">CHOCO MASMELOS </t>
  </si>
  <si>
    <t>CAFÉ BUEN DIA</t>
  </si>
  <si>
    <t>ESTUCHES DE BOMBONES</t>
  </si>
  <si>
    <t>SARDINA VAN CAMP’S EN TOMATE POR 425 gr</t>
  </si>
  <si>
    <t>SARDINA VAN CAMP’S EN ACEITE  DE 298 gr</t>
  </si>
  <si>
    <t>SARDINA VAN CAMP’S EN TOMATE DE 170 gr</t>
  </si>
  <si>
    <t>ATUN VAN CAMP’S EN AGUA DE 184 gr</t>
  </si>
  <si>
    <t>ATUN VAN CAMP’S EN AGUA DE 354 gr</t>
  </si>
  <si>
    <t>ATUN VAN CAMP’S EN ACEITE DE 184 gr</t>
  </si>
  <si>
    <t>ATUN VAN CAMP’S EN ACEITE DE 354 gr</t>
  </si>
  <si>
    <t>AREQUIPE COLOMBINA POR 50 gr</t>
  </si>
  <si>
    <t>AREQUIPE COLOMBINA POR 250 gr</t>
  </si>
  <si>
    <t>AREQUIPE COLOMBINA POR 500 gr</t>
  </si>
  <si>
    <t>LECHE CONDENSADA COLOMBINA POR 300 gr</t>
  </si>
  <si>
    <t>LECHE CONDENSADA COLOMBINA POR 400 gr</t>
  </si>
  <si>
    <t>PALETA DE AGUA</t>
  </si>
  <si>
    <t>PALETA DE CREMA</t>
  </si>
  <si>
    <t>VASOS</t>
  </si>
  <si>
    <t>GALLETAS</t>
  </si>
  <si>
    <t>CONOS</t>
  </si>
  <si>
    <t>ROBIN HOOD</t>
  </si>
  <si>
    <t>POSTRE HELADO</t>
  </si>
  <si>
    <t xml:space="preserve">SNAKI </t>
  </si>
  <si>
    <t xml:space="preserve">SALSA DE TOMATE </t>
  </si>
  <si>
    <t xml:space="preserve">SALSA MOSTANEZA ORIGINAL </t>
  </si>
  <si>
    <t>SALSA MOSTANEZ RANCHERA</t>
  </si>
  <si>
    <t>MERMELADA DE FRUTOS ROJOS</t>
  </si>
  <si>
    <t>MERMELADA DE PIÑA</t>
  </si>
  <si>
    <t>VINAGRETA</t>
  </si>
  <si>
    <t>SALSA PARA PASTAS CON CHAMPIÑONES</t>
  </si>
  <si>
    <t>TOTAL CAJAS</t>
  </si>
  <si>
    <t>NUMERO ESTIBAS POR PRODUCTO</t>
  </si>
  <si>
    <t>TOTAL ESTIBAS</t>
  </si>
  <si>
    <t>EESTIBA REFRIGERADAS</t>
  </si>
  <si>
    <t>TOTAL ESTIBAS SECAS</t>
  </si>
  <si>
    <t>MEDIDA CUBICA DE LA CAJA</t>
  </si>
  <si>
    <r>
      <t>L</t>
    </r>
    <r>
      <rPr>
        <sz val="10"/>
        <color theme="1"/>
        <rFont val="Arial"/>
        <family val="2"/>
      </rPr>
      <t>os autolelevadores Yale se ofrecen en una amplia gama de modelos y capacidades desde 1.5 toneladas a 16.0 tn y hasta los 11,5 m de altura, en equipos de combustión nafta, nafta-gas, diesel o eléctricos, incluyendo lo último en tecnología como frenos regenerativos, motores de corriente alterna,baja emisión de contaminante etc.</t>
    </r>
  </si>
  <si>
    <t>Esta completa línea se ha desarrollado teniendo en cuenta, tanto en su diseño como en su fabricación, para cubrir una gran cantidad de aplicaciones específicas.</t>
  </si>
  <si>
    <r>
      <t xml:space="preserve">La </t>
    </r>
    <r>
      <rPr>
        <b/>
        <sz val="10"/>
        <color theme="1"/>
        <rFont val="Arial"/>
        <family val="2"/>
      </rPr>
      <t>potencia, durabilidad y eficiencia</t>
    </r>
    <r>
      <rPr>
        <sz val="10"/>
        <color theme="1"/>
        <rFont val="Arial"/>
        <family val="2"/>
      </rPr>
      <t xml:space="preserve"> de los autoelevadores Yale redundan en una larga vida útil, un funcionamiento seguro, muy baja frecuencia y costo de mantenimiento y con el mayor valor de reventa del usado en el mercado. Su diseño ergonómico de avanzada y el confort para el operador garantizan un excelente nivel de productividad.</t>
    </r>
  </si>
  <si>
    <t>Ofrecemos también Apiladores YALE para pasillo angosto hasta 11 metros de altura. Apiladores para pasillo muy angosto (triloaders) marca Yale hasta 12 metros de altura.</t>
  </si>
  <si>
    <t>MONTACARGA A UTILIZAR</t>
  </si>
  <si>
    <t xml:space="preserve"> </t>
  </si>
  <si>
    <t>CONTROL DESPACHOS</t>
  </si>
  <si>
    <t>CONTROL PEDIDOS</t>
  </si>
  <si>
    <t>CANTIDAD DE CAJAS RED CORTA/GRANDES SUPERFICIES</t>
  </si>
  <si>
    <t>CANTIDAD DE CAJAS MEDIA/SUPERMERCADOS /HIPERMERCADOS</t>
  </si>
  <si>
    <t>CANTIDAD DE CAJAS RED LARGA/MAYORISTAS</t>
  </si>
  <si>
    <t>CANTIDAD DE CAJAS/RED CORTA TIENDAS DIRECTAS</t>
  </si>
  <si>
    <t>CANTIDAD DE CAJAS/RED CORTA HIPERMERCADOS</t>
  </si>
  <si>
    <t>CANTIDAD DE CAJAS/RED CORTA MERCADOS DE ABASTO</t>
  </si>
  <si>
    <t>CANTIDAD DE CAJAS/RED CORTA COMERCIO ELECTRONICO</t>
  </si>
  <si>
    <t>NUMERO DE CAJAS POR ESTIBAS</t>
  </si>
  <si>
    <t>MEDIDA CUBICA DE LA ESTIBA</t>
  </si>
  <si>
    <t>Confiteria</t>
  </si>
  <si>
    <t>Galleteria</t>
  </si>
  <si>
    <t>Chocolates y Café</t>
  </si>
  <si>
    <t>Enlatados de pescado</t>
  </si>
  <si>
    <t>Postres</t>
  </si>
  <si>
    <t>Helados</t>
  </si>
  <si>
    <t>Salsas y conservas</t>
  </si>
  <si>
    <t>TIPO DE PRODUCTO</t>
  </si>
  <si>
    <t>LARGO</t>
  </si>
  <si>
    <t>ANCHO</t>
  </si>
  <si>
    <t>50 MTS</t>
  </si>
  <si>
    <t>15 MTS</t>
  </si>
  <si>
    <t>ALTO</t>
  </si>
  <si>
    <t>AREA EN MTS 3</t>
  </si>
  <si>
    <t>AREA EN MTS 2</t>
  </si>
  <si>
    <t>2m</t>
  </si>
  <si>
    <t>2 m</t>
  </si>
  <si>
    <t>vehiculos</t>
  </si>
  <si>
    <t>7 m largo</t>
  </si>
  <si>
    <t>2 m ancho</t>
  </si>
  <si>
    <t>3 m</t>
  </si>
  <si>
    <t>6 camiones  por carga</t>
  </si>
  <si>
    <t>SALARIO BASICO</t>
  </si>
  <si>
    <t>AUX TRANSPORTE (devengan menos de 2 salarios minimos)</t>
  </si>
  <si>
    <t>NOMINA</t>
  </si>
  <si>
    <t>DEVENGOS</t>
  </si>
  <si>
    <t>DESCUENTOS</t>
  </si>
  <si>
    <t>SEGURIDAD SOCIAL</t>
  </si>
  <si>
    <t>PERSONAL</t>
  </si>
  <si>
    <t>SALARIO</t>
  </si>
  <si>
    <t>SUBSIDIO TRANSPORTE</t>
  </si>
  <si>
    <t>DIAS LABORADOS</t>
  </si>
  <si>
    <t>SUELDO</t>
  </si>
  <si>
    <t>A. TRANSPO.</t>
  </si>
  <si>
    <t>CANT. EXTRAS</t>
  </si>
  <si>
    <t>horas EXTRAS DIURNAS</t>
  </si>
  <si>
    <t>cant. recargos</t>
  </si>
  <si>
    <t>RECARGOS</t>
  </si>
  <si>
    <t>TOTAL DEVENGADOS</t>
  </si>
  <si>
    <t>SALUD 4%</t>
  </si>
  <si>
    <t>PENSION 4%</t>
  </si>
  <si>
    <t>FONDO SOLIDARIDAD</t>
  </si>
  <si>
    <t>TOTAL DESCUENTOS</t>
  </si>
  <si>
    <t>NETO A PAGAR</t>
  </si>
  <si>
    <t>VIGILANCIA (2 PERSONAS)</t>
  </si>
  <si>
    <t>OPERARIO MONTACARGA(3 PERSONAS)</t>
  </si>
  <si>
    <t>JEFE DE BODEGA (2 JEFES)</t>
  </si>
  <si>
    <t>SECRETARIA (1 SECRE)</t>
  </si>
  <si>
    <t>MENSAJERO (1 MENSA)</t>
  </si>
  <si>
    <t>SERVICIOS GENERALES (2 SG)</t>
  </si>
  <si>
    <t>AUX. BODEGA (10 AUX)</t>
  </si>
  <si>
    <t>GERENTE ( 1 GERENTE)</t>
  </si>
  <si>
    <t>SUBGERENTE (1 SUBG)</t>
  </si>
  <si>
    <t>ACESOR COMERCIAL( 3 ACESOR)</t>
  </si>
  <si>
    <t>TOTALES</t>
  </si>
  <si>
    <t>OTROS GASTOS A CARGO DE LA EMPRESA</t>
  </si>
  <si>
    <t>RIESGOS PROFESIONALES 0,522%</t>
  </si>
  <si>
    <t>total nomina</t>
  </si>
  <si>
    <t>PARAFISCALES</t>
  </si>
  <si>
    <t>CAJA 4%</t>
  </si>
  <si>
    <t>SENA2%</t>
  </si>
  <si>
    <t>ICBF 3%</t>
  </si>
  <si>
    <t>PROVISIONES</t>
  </si>
  <si>
    <t>Cesantias</t>
  </si>
  <si>
    <t>Prima de Servicios</t>
  </si>
  <si>
    <t>Vacaciones</t>
  </si>
  <si>
    <t>Int /Cesantias</t>
  </si>
  <si>
    <t>NOTA: EL COSTO DE LOS CAMIONES ES PAGADO POR STAFF</t>
  </si>
  <si>
    <t>ESPECIFICACION</t>
  </si>
  <si>
    <t xml:space="preserve">CANTIDAD </t>
  </si>
  <si>
    <t>PRECIO * CAMION</t>
  </si>
  <si>
    <t>PRECIO TOTAL CAMIONES</t>
  </si>
  <si>
    <t>CAMION SAIDERS 1214 MERCEDES BENZ - CAPACIDAD 11 TON. - 7 L* 3A</t>
  </si>
  <si>
    <t xml:space="preserve"> CAMION SAIDERS 1214  REFRIGERADO MERCEDES BENZ - CAPACIDAD 11 TON. - 7 L* 2.30A</t>
  </si>
  <si>
    <t>TOTAL</t>
  </si>
  <si>
    <t>METROS</t>
  </si>
  <si>
    <t>MINUTOS</t>
  </si>
  <si>
    <t>KILOMETROS*H</t>
  </si>
  <si>
    <t>CICLO CARGUE BODEGA</t>
  </si>
  <si>
    <t>TIEMPO ENGANCHE ESTIBA(MIN)</t>
  </si>
  <si>
    <t>TOTAL RECORRIDO MONTACARGA</t>
  </si>
  <si>
    <t>CANTIDAD MONTACARGA</t>
  </si>
  <si>
    <t>CAJAS * CAMION</t>
  </si>
  <si>
    <t>TIEMPO CARGUE CAMION (MINUTOS)</t>
  </si>
  <si>
    <t>TIEMPO TOTAL CARGUE  FLOTA</t>
  </si>
  <si>
    <t>TIEMPO TOTAL CARGUE * CAMION DESDE ESTANTERIA</t>
  </si>
  <si>
    <t xml:space="preserve">2m </t>
  </si>
  <si>
    <t>30 mts</t>
  </si>
  <si>
    <t>10 mts</t>
  </si>
  <si>
    <t>mts</t>
  </si>
  <si>
    <t>AREA DE LA BODEGA</t>
  </si>
  <si>
    <t xml:space="preserve">VEHICULO </t>
  </si>
  <si>
    <t>AREA ADMINISTRATIVA (segunda planta)</t>
  </si>
  <si>
    <t>NOMBRE</t>
  </si>
  <si>
    <t>DIR</t>
  </si>
  <si>
    <t>LOCALIDAD A CUBRIR</t>
  </si>
  <si>
    <t>CANT_CLIEN_RED LARGA(MAYORISTA)</t>
  </si>
  <si>
    <t>CANT_CLIEN_RED MEDIA(    SUPERMERCADO-HIPERMERCADO)</t>
  </si>
  <si>
    <t>CANT_CLIEN_RED CORTA</t>
  </si>
  <si>
    <t>PROGRAMACION DE DISTRIBUCION EN LOS DIAS DEL MES</t>
  </si>
  <si>
    <t>CENTRO DE DISTRIBUCION ZONA 5</t>
  </si>
  <si>
    <t>CALLE 61 A CARRERA 13 A</t>
  </si>
  <si>
    <t>TEUSAQUILLO</t>
  </si>
  <si>
    <t>X</t>
  </si>
  <si>
    <t>CHAPINERO</t>
  </si>
  <si>
    <t>USAQUEN</t>
  </si>
  <si>
    <t>TOTAL CENTRO 5</t>
  </si>
  <si>
    <t>CLIENTES</t>
  </si>
  <si>
    <t>CAPACIDAD DE ENDEUDAMIENTO</t>
  </si>
  <si>
    <t>TIPO DE RED</t>
  </si>
  <si>
    <t>ZONAS</t>
  </si>
  <si>
    <t>CANTIDAD</t>
  </si>
  <si>
    <t>DIRECCIONES</t>
  </si>
  <si>
    <t>TIEMPO ESTIMADO DE ENTREGA BODEGA vs CLIENTE</t>
  </si>
  <si>
    <t xml:space="preserve">MAYORISTA </t>
  </si>
  <si>
    <t>LARGA</t>
  </si>
  <si>
    <t>CRA 7 X CLL 127</t>
  </si>
  <si>
    <t>MAYORISTA</t>
  </si>
  <si>
    <t>CRA 7 CLLE 116</t>
  </si>
  <si>
    <t>CRA 15 CALLE 123</t>
  </si>
  <si>
    <t>CRA 19 CALLE 118</t>
  </si>
  <si>
    <t>CLL 13 A X CRA 28</t>
  </si>
  <si>
    <t>CRA 7 X DIAG 26</t>
  </si>
  <si>
    <t>CLL 34 X AV CARACAS</t>
  </si>
  <si>
    <t>CLL53 X CRA 13</t>
  </si>
  <si>
    <t>CLL 60 X CRA 14 A</t>
  </si>
  <si>
    <t>CLL 64 A X AV CARACAS</t>
  </si>
  <si>
    <t>CRA 7 X CLL 72</t>
  </si>
  <si>
    <t xml:space="preserve">SUPERMERCADO </t>
  </si>
  <si>
    <t>MEDIA</t>
  </si>
  <si>
    <t>CRA 13 A X CLL 62</t>
  </si>
  <si>
    <t>HIPERMERCADOS</t>
  </si>
  <si>
    <t>CRA 11 X CLL 63</t>
  </si>
  <si>
    <t>CRA 20 A X CLL 28</t>
  </si>
  <si>
    <t>CLL 32  X CRA 16</t>
  </si>
  <si>
    <t>CRA 7 X CLL 191</t>
  </si>
  <si>
    <t xml:space="preserve">CLL 187 A X CRA 7 A </t>
  </si>
  <si>
    <t>GRANDES SUPERFICIES</t>
  </si>
  <si>
    <t>CORTA</t>
  </si>
  <si>
    <t>CLL 65 X CRA 13</t>
  </si>
  <si>
    <t>TIENDAS DIRECTAS</t>
  </si>
  <si>
    <t>CLL 63 X CRA 13</t>
  </si>
  <si>
    <t>CLL 53 X CARACAS</t>
  </si>
  <si>
    <t>CLL 36 X CRA 7</t>
  </si>
  <si>
    <t>CLL 39 X CRA 7</t>
  </si>
  <si>
    <t>CRA 15 X CLL 127</t>
  </si>
  <si>
    <t>MERCADOS DE ABASTO</t>
  </si>
  <si>
    <t xml:space="preserve">CLL 152 X CRA 18 A </t>
  </si>
  <si>
    <t>CLL 133  X CRA 9</t>
  </si>
  <si>
    <t>TIEMPO TOTAL DE ENTREGA</t>
  </si>
  <si>
    <t>viernes</t>
  </si>
  <si>
    <t>DISTANCIA</t>
  </si>
  <si>
    <t>PROD * FILA</t>
  </si>
  <si>
    <t>TIEMPO DE RECORRIDO</t>
  </si>
  <si>
    <t>ESTIBAS POR PRODUCTO POR RED LARGA MAYORISTA</t>
  </si>
  <si>
    <t>TIEMPO CARGUE ESTIBA(MIN)</t>
  </si>
  <si>
    <t>TIEMPO POR METRO</t>
  </si>
  <si>
    <t>TIEMPO DE CARGAR</t>
  </si>
  <si>
    <t xml:space="preserve">  </t>
  </si>
  <si>
    <t>ESTIBAS POR PRODUCTO POR RED MEDIA</t>
  </si>
  <si>
    <t>TIEMPO DE CARGA</t>
  </si>
  <si>
    <t>ESTIBAS POR PRODUCTO POR RED  CORTA</t>
  </si>
  <si>
    <t>TIEMPO DECARGA</t>
  </si>
  <si>
    <t xml:space="preserve">TIEMPO EN CARGUE </t>
  </si>
  <si>
    <t>HORAS</t>
  </si>
  <si>
    <t>SEGUNDOS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</si>
</sst>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_-;\-* #,##0.00_-;_-* &quot;-&quot;??_-;_-@_-"/>
    <numFmt numFmtId="164" formatCode="_(&quot;$&quot;\ * #,##0.00_);_(&quot;$&quot;\ * \(#,##0.00\);_(&quot;$&quot;\ * &quot;-&quot;??_);_(@_)"/>
    <numFmt numFmtId="165" formatCode="_(* #,##0.00_);_(* \(#,##0.00\);_(* &quot;-&quot;??_);_(@_)"/>
    <numFmt numFmtId="166" formatCode="_-* #,##0_-;\-* #,##0_-;_-* &quot;-&quot;??_-;_-@_-"/>
    <numFmt numFmtId="167" formatCode="_-* #,##0.0_-;\-* #,##0.0_-;_-* &quot;-&quot;??_-;_-@_-"/>
    <numFmt numFmtId="168" formatCode="_(* #,##0_);_(* \(#,##0\);_(* &quot;-&quot;??_);_(@_)"/>
    <numFmt numFmtId="169" formatCode="_(* #,##0.000_);_(* \(#,##0.000\);_(* &quot;-&quot;??_);_(@_)"/>
    <numFmt numFmtId="170" formatCode="0.0"/>
    <numFmt numFmtId="177" formatCode="0.000"/>
    <numFmt numFmtId="182" formatCode="0.00;[Red]0.0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3" tint="0.59999389629810485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Arial"/>
      <family val="2"/>
    </font>
    <font>
      <b/>
      <sz val="8"/>
      <color rgb="FFFF0000"/>
      <name val="Arial"/>
      <family val="2"/>
    </font>
    <font>
      <sz val="8"/>
      <color rgb="FFC00000"/>
      <name val="Arial"/>
      <family val="2"/>
    </font>
    <font>
      <sz val="8"/>
      <color theme="3" tint="0.39997558519241921"/>
      <name val="Arial"/>
      <family val="2"/>
    </font>
    <font>
      <sz val="8"/>
      <color theme="6" tint="-0.499984740745262"/>
      <name val="Arial"/>
      <family val="2"/>
    </font>
    <font>
      <sz val="8"/>
      <color theme="9" tint="-0.249977111117893"/>
      <name val="Arial"/>
      <family val="2"/>
    </font>
    <font>
      <sz val="8"/>
      <color rgb="FF008000"/>
      <name val="Arial"/>
      <family val="2"/>
    </font>
    <font>
      <b/>
      <sz val="11"/>
      <color theme="9" tint="0.3999755851924192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Agency FB"/>
      <family val="2"/>
    </font>
    <font>
      <sz val="8"/>
      <color theme="1"/>
      <name val="Agency FB"/>
      <family val="2"/>
    </font>
    <font>
      <sz val="9"/>
      <color theme="1"/>
      <name val="Agency FB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70C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5" fillId="0" borderId="0"/>
    <xf numFmtId="0" fontId="27" fillId="0" borderId="0"/>
  </cellStyleXfs>
  <cellXfs count="259">
    <xf numFmtId="0" fontId="0" fillId="0" borderId="0" xfId="0"/>
    <xf numFmtId="0" fontId="2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0" fillId="0" borderId="0" xfId="0"/>
    <xf numFmtId="0" fontId="0" fillId="0" borderId="1" xfId="0" applyBorder="1" applyAlignment="1">
      <alignment wrapText="1"/>
    </xf>
    <xf numFmtId="166" fontId="0" fillId="0" borderId="1" xfId="1" applyNumberFormat="1" applyFont="1" applyBorder="1"/>
    <xf numFmtId="0" fontId="5" fillId="2" borderId="1" xfId="0" applyFont="1" applyFill="1" applyBorder="1"/>
    <xf numFmtId="0" fontId="4" fillId="2" borderId="1" xfId="0" applyFont="1" applyFill="1" applyBorder="1"/>
    <xf numFmtId="0" fontId="5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0" fillId="0" borderId="0" xfId="0"/>
    <xf numFmtId="166" fontId="0" fillId="0" borderId="1" xfId="1" applyNumberFormat="1" applyFont="1" applyBorder="1"/>
    <xf numFmtId="166" fontId="0" fillId="0" borderId="1" xfId="1" applyNumberFormat="1" applyFont="1" applyBorder="1"/>
    <xf numFmtId="166" fontId="0" fillId="0" borderId="1" xfId="1" applyNumberFormat="1" applyFont="1" applyBorder="1"/>
    <xf numFmtId="0" fontId="0" fillId="0" borderId="1" xfId="0" applyBorder="1" applyAlignment="1">
      <alignment wrapText="1"/>
    </xf>
    <xf numFmtId="166" fontId="0" fillId="0" borderId="1" xfId="1" applyNumberFormat="1" applyFont="1" applyBorder="1"/>
    <xf numFmtId="166" fontId="0" fillId="0" borderId="1" xfId="1" applyNumberFormat="1" applyFont="1" applyBorder="1"/>
    <xf numFmtId="166" fontId="0" fillId="0" borderId="0" xfId="0" applyNumberFormat="1"/>
    <xf numFmtId="166" fontId="0" fillId="0" borderId="1" xfId="0" applyNumberFormat="1" applyBorder="1"/>
    <xf numFmtId="166" fontId="0" fillId="0" borderId="1" xfId="1" applyNumberFormat="1" applyFont="1" applyBorder="1"/>
    <xf numFmtId="43" fontId="3" fillId="2" borderId="1" xfId="1" applyNumberFormat="1" applyFont="1" applyFill="1" applyBorder="1" applyAlignment="1">
      <alignment horizontal="right"/>
    </xf>
    <xf numFmtId="0" fontId="2" fillId="0" borderId="1" xfId="0" applyFont="1" applyBorder="1" applyAlignment="1">
      <alignment wrapText="1"/>
    </xf>
    <xf numFmtId="0" fontId="5" fillId="3" borderId="1" xfId="0" applyFont="1" applyFill="1" applyBorder="1"/>
    <xf numFmtId="0" fontId="4" fillId="3" borderId="1" xfId="0" applyFont="1" applyFill="1" applyBorder="1" applyAlignment="1">
      <alignment horizontal="left" vertical="center"/>
    </xf>
    <xf numFmtId="166" fontId="0" fillId="3" borderId="1" xfId="1" applyNumberFormat="1" applyFont="1" applyFill="1" applyBorder="1"/>
    <xf numFmtId="166" fontId="0" fillId="3" borderId="1" xfId="0" applyNumberFormat="1" applyFill="1" applyBorder="1"/>
    <xf numFmtId="43" fontId="3" fillId="3" borderId="1" xfId="1" applyNumberFormat="1" applyFont="1" applyFill="1" applyBorder="1" applyAlignment="1">
      <alignment horizontal="right"/>
    </xf>
    <xf numFmtId="0" fontId="0" fillId="3" borderId="0" xfId="0" applyFill="1"/>
    <xf numFmtId="0" fontId="4" fillId="3" borderId="1" xfId="0" applyFont="1" applyFill="1" applyBorder="1" applyAlignment="1">
      <alignment horizontal="left" vertical="center" wrapText="1"/>
    </xf>
    <xf numFmtId="0" fontId="0" fillId="2" borderId="0" xfId="0" applyFill="1"/>
    <xf numFmtId="167" fontId="0" fillId="0" borderId="1" xfId="1" applyNumberFormat="1" applyFont="1" applyBorder="1"/>
    <xf numFmtId="1" fontId="0" fillId="0" borderId="1" xfId="0" applyNumberForma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Border="1" applyAlignment="1">
      <alignment vertical="center" textRotation="255"/>
    </xf>
    <xf numFmtId="0" fontId="10" fillId="0" borderId="0" xfId="0" applyFont="1" applyBorder="1" applyAlignment="1">
      <alignment vertical="center" textRotation="255" wrapText="1"/>
    </xf>
    <xf numFmtId="0" fontId="13" fillId="0" borderId="0" xfId="0" applyFont="1" applyBorder="1"/>
    <xf numFmtId="1" fontId="0" fillId="0" borderId="1" xfId="1" applyNumberFormat="1" applyFont="1" applyBorder="1"/>
    <xf numFmtId="167" fontId="0" fillId="3" borderId="1" xfId="1" applyNumberFormat="1" applyFont="1" applyFill="1" applyBorder="1"/>
    <xf numFmtId="1" fontId="0" fillId="3" borderId="1" xfId="1" applyNumberFormat="1" applyFont="1" applyFill="1" applyBorder="1"/>
    <xf numFmtId="1" fontId="0" fillId="3" borderId="1" xfId="0" applyNumberFormat="1" applyFill="1" applyBorder="1"/>
    <xf numFmtId="0" fontId="14" fillId="2" borderId="20" xfId="0" applyFont="1" applyFill="1" applyBorder="1"/>
    <xf numFmtId="0" fontId="14" fillId="2" borderId="21" xfId="0" applyFont="1" applyFill="1" applyBorder="1"/>
    <xf numFmtId="0" fontId="15" fillId="2" borderId="21" xfId="0" applyFont="1" applyFill="1" applyBorder="1"/>
    <xf numFmtId="0" fontId="16" fillId="2" borderId="21" xfId="0" applyFont="1" applyFill="1" applyBorder="1"/>
    <xf numFmtId="0" fontId="17" fillId="2" borderId="21" xfId="0" applyFont="1" applyFill="1" applyBorder="1"/>
    <xf numFmtId="0" fontId="18" fillId="2" borderId="21" xfId="0" applyFont="1" applyFill="1" applyBorder="1"/>
    <xf numFmtId="0" fontId="19" fillId="2" borderId="21" xfId="0" applyFont="1" applyFill="1" applyBorder="1"/>
    <xf numFmtId="0" fontId="19" fillId="2" borderId="22" xfId="0" applyFont="1" applyFill="1" applyBorder="1"/>
    <xf numFmtId="0" fontId="20" fillId="0" borderId="13" xfId="0" applyFont="1" applyBorder="1"/>
    <xf numFmtId="0" fontId="20" fillId="0" borderId="14" xfId="0" applyFont="1" applyBorder="1"/>
    <xf numFmtId="0" fontId="20" fillId="0" borderId="15" xfId="0" applyFont="1" applyBorder="1"/>
    <xf numFmtId="0" fontId="20" fillId="0" borderId="16" xfId="0" applyFont="1" applyBorder="1"/>
    <xf numFmtId="0" fontId="20" fillId="0" borderId="17" xfId="0" applyFont="1" applyBorder="1"/>
    <xf numFmtId="0" fontId="2" fillId="0" borderId="4" xfId="0" applyFont="1" applyBorder="1"/>
    <xf numFmtId="0" fontId="21" fillId="0" borderId="4" xfId="0" applyFont="1" applyFill="1" applyBorder="1"/>
    <xf numFmtId="0" fontId="2" fillId="0" borderId="0" xfId="0" applyFont="1" applyBorder="1"/>
    <xf numFmtId="0" fontId="2" fillId="0" borderId="13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17" xfId="0" applyFont="1" applyBorder="1"/>
    <xf numFmtId="0" fontId="2" fillId="0" borderId="12" xfId="0" applyFont="1" applyBorder="1"/>
    <xf numFmtId="0" fontId="2" fillId="0" borderId="0" xfId="0" applyFont="1"/>
    <xf numFmtId="0" fontId="22" fillId="0" borderId="16" xfId="0" applyFont="1" applyBorder="1"/>
    <xf numFmtId="0" fontId="22" fillId="0" borderId="17" xfId="0" applyFont="1" applyBorder="1"/>
    <xf numFmtId="0" fontId="22" fillId="0" borderId="12" xfId="0" applyFont="1" applyBorder="1"/>
    <xf numFmtId="0" fontId="22" fillId="0" borderId="13" xfId="0" applyFont="1" applyBorder="1"/>
    <xf numFmtId="0" fontId="2" fillId="0" borderId="24" xfId="0" applyFont="1" applyBorder="1"/>
    <xf numFmtId="0" fontId="2" fillId="0" borderId="23" xfId="0" applyFont="1" applyBorder="1"/>
    <xf numFmtId="0" fontId="10" fillId="0" borderId="24" xfId="0" applyFont="1" applyFill="1" applyBorder="1"/>
    <xf numFmtId="0" fontId="10" fillId="0" borderId="18" xfId="0" applyFont="1" applyFill="1" applyBorder="1"/>
    <xf numFmtId="0" fontId="20" fillId="0" borderId="18" xfId="0" applyFont="1" applyBorder="1"/>
    <xf numFmtId="0" fontId="20" fillId="0" borderId="19" xfId="0" applyFont="1" applyBorder="1"/>
    <xf numFmtId="1" fontId="0" fillId="0" borderId="0" xfId="0" applyNumberFormat="1"/>
    <xf numFmtId="166" fontId="0" fillId="0" borderId="0" xfId="1" applyNumberFormat="1" applyFont="1" applyFill="1" applyBorder="1"/>
    <xf numFmtId="166" fontId="0" fillId="3" borderId="0" xfId="0" applyNumberFormat="1" applyFill="1"/>
    <xf numFmtId="166" fontId="0" fillId="3" borderId="0" xfId="1" applyNumberFormat="1" applyFont="1" applyFill="1" applyBorder="1"/>
    <xf numFmtId="0" fontId="2" fillId="0" borderId="0" xfId="0" applyFont="1" applyBorder="1" applyAlignment="1"/>
    <xf numFmtId="166" fontId="0" fillId="0" borderId="0" xfId="1" applyNumberFormat="1" applyFont="1" applyBorder="1"/>
    <xf numFmtId="0" fontId="23" fillId="0" borderId="11" xfId="0" applyFont="1" applyBorder="1"/>
    <xf numFmtId="0" fontId="23" fillId="0" borderId="5" xfId="0" applyFont="1" applyBorder="1"/>
    <xf numFmtId="0" fontId="10" fillId="0" borderId="4" xfId="0" applyFont="1" applyBorder="1"/>
    <xf numFmtId="166" fontId="2" fillId="0" borderId="0" xfId="0" applyNumberFormat="1" applyFont="1"/>
    <xf numFmtId="166" fontId="2" fillId="3" borderId="0" xfId="0" applyNumberFormat="1" applyFont="1" applyFill="1"/>
    <xf numFmtId="168" fontId="0" fillId="0" borderId="0" xfId="2" applyNumberFormat="1" applyFont="1"/>
    <xf numFmtId="168" fontId="0" fillId="0" borderId="0" xfId="2" applyNumberFormat="1" applyFont="1" applyAlignment="1">
      <alignment horizontal="center" vertical="center"/>
    </xf>
    <xf numFmtId="168" fontId="0" fillId="0" borderId="0" xfId="2" applyNumberFormat="1" applyFont="1" applyAlignment="1">
      <alignment wrapText="1"/>
    </xf>
    <xf numFmtId="168" fontId="0" fillId="0" borderId="22" xfId="2" applyNumberFormat="1" applyFont="1" applyBorder="1"/>
    <xf numFmtId="168" fontId="0" fillId="0" borderId="29" xfId="2" applyNumberFormat="1" applyFont="1" applyBorder="1"/>
    <xf numFmtId="168" fontId="0" fillId="0" borderId="30" xfId="2" applyNumberFormat="1" applyFont="1" applyBorder="1"/>
    <xf numFmtId="0" fontId="24" fillId="0" borderId="1" xfId="0" applyFont="1" applyBorder="1" applyAlignment="1">
      <alignment horizontal="center" vertical="center"/>
    </xf>
    <xf numFmtId="168" fontId="24" fillId="0" borderId="1" xfId="2" applyNumberFormat="1" applyFont="1" applyBorder="1" applyAlignment="1">
      <alignment horizontal="center" vertical="center"/>
    </xf>
    <xf numFmtId="168" fontId="24" fillId="0" borderId="1" xfId="2" applyNumberFormat="1" applyFont="1" applyBorder="1" applyAlignment="1">
      <alignment horizontal="center" vertical="center" wrapText="1"/>
    </xf>
    <xf numFmtId="168" fontId="2" fillId="0" borderId="1" xfId="2" applyNumberFormat="1" applyFont="1" applyBorder="1" applyAlignment="1">
      <alignment horizontal="center" vertical="center" wrapText="1"/>
    </xf>
    <xf numFmtId="168" fontId="2" fillId="0" borderId="1" xfId="2" applyNumberFormat="1" applyFont="1" applyBorder="1" applyAlignment="1">
      <alignment wrapText="1"/>
    </xf>
    <xf numFmtId="0" fontId="0" fillId="0" borderId="1" xfId="0" applyBorder="1"/>
    <xf numFmtId="168" fontId="0" fillId="0" borderId="1" xfId="2" applyNumberFormat="1" applyFont="1" applyBorder="1"/>
    <xf numFmtId="168" fontId="0" fillId="0" borderId="1" xfId="2" applyNumberFormat="1" applyFont="1" applyBorder="1" applyAlignment="1">
      <alignment horizontal="center" vertical="center"/>
    </xf>
    <xf numFmtId="0" fontId="26" fillId="0" borderId="1" xfId="5" applyFont="1" applyFill="1" applyBorder="1" applyAlignment="1">
      <alignment horizontal="left" wrapText="1"/>
    </xf>
    <xf numFmtId="168" fontId="2" fillId="0" borderId="0" xfId="2" applyNumberFormat="1" applyFont="1" applyAlignment="1">
      <alignment horizontal="center" vertical="center"/>
    </xf>
    <xf numFmtId="168" fontId="2" fillId="0" borderId="0" xfId="2" applyNumberFormat="1" applyFont="1"/>
    <xf numFmtId="169" fontId="0" fillId="0" borderId="0" xfId="2" applyNumberFormat="1" applyFont="1"/>
    <xf numFmtId="0" fontId="27" fillId="0" borderId="0" xfId="6" applyFont="1" applyFill="1" applyAlignment="1"/>
    <xf numFmtId="10" fontId="27" fillId="0" borderId="0" xfId="6" applyNumberFormat="1" applyFont="1" applyFill="1" applyAlignment="1"/>
    <xf numFmtId="9" fontId="0" fillId="0" borderId="0" xfId="4" applyFont="1"/>
    <xf numFmtId="0" fontId="0" fillId="0" borderId="28" xfId="0" applyBorder="1"/>
    <xf numFmtId="0" fontId="0" fillId="0" borderId="32" xfId="0" applyBorder="1"/>
    <xf numFmtId="0" fontId="29" fillId="0" borderId="35" xfId="0" applyFont="1" applyBorder="1" applyAlignment="1">
      <alignment wrapText="1"/>
    </xf>
    <xf numFmtId="0" fontId="0" fillId="0" borderId="36" xfId="0" applyBorder="1"/>
    <xf numFmtId="168" fontId="0" fillId="0" borderId="36" xfId="2" applyNumberFormat="1" applyFont="1" applyBorder="1"/>
    <xf numFmtId="168" fontId="0" fillId="0" borderId="37" xfId="2" applyNumberFormat="1" applyFont="1" applyBorder="1"/>
    <xf numFmtId="0" fontId="29" fillId="0" borderId="38" xfId="0" applyFont="1" applyBorder="1" applyAlignment="1">
      <alignment wrapText="1"/>
    </xf>
    <xf numFmtId="0" fontId="0" fillId="0" borderId="39" xfId="0" applyBorder="1"/>
    <xf numFmtId="168" fontId="0" fillId="0" borderId="39" xfId="2" applyNumberFormat="1" applyFont="1" applyBorder="1"/>
    <xf numFmtId="168" fontId="0" fillId="0" borderId="40" xfId="2" applyNumberFormat="1" applyFont="1" applyBorder="1"/>
    <xf numFmtId="0" fontId="0" fillId="0" borderId="41" xfId="0" applyBorder="1"/>
    <xf numFmtId="168" fontId="0" fillId="0" borderId="23" xfId="2" applyNumberFormat="1" applyFont="1" applyBorder="1"/>
    <xf numFmtId="168" fontId="0" fillId="0" borderId="0" xfId="0" applyNumberFormat="1"/>
    <xf numFmtId="0" fontId="12" fillId="2" borderId="4" xfId="0" applyFont="1" applyFill="1" applyBorder="1" applyAlignment="1"/>
    <xf numFmtId="0" fontId="0" fillId="0" borderId="0" xfId="0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31" fillId="0" borderId="1" xfId="0" applyFont="1" applyBorder="1" applyAlignment="1">
      <alignment horizontal="center"/>
    </xf>
    <xf numFmtId="1" fontId="0" fillId="0" borderId="21" xfId="0" applyNumberFormat="1" applyBorder="1" applyAlignment="1">
      <alignment horizontal="center"/>
    </xf>
    <xf numFmtId="1" fontId="0" fillId="0" borderId="42" xfId="0" applyNumberFormat="1" applyBorder="1" applyAlignment="1">
      <alignment horizontal="center"/>
    </xf>
    <xf numFmtId="166" fontId="30" fillId="0" borderId="1" xfId="1" applyNumberFormat="1" applyFont="1" applyBorder="1" applyAlignment="1">
      <alignment horizontal="center"/>
    </xf>
    <xf numFmtId="166" fontId="32" fillId="0" borderId="1" xfId="1" applyNumberFormat="1" applyFont="1" applyBorder="1" applyAlignment="1">
      <alignment horizontal="center"/>
    </xf>
    <xf numFmtId="166" fontId="32" fillId="0" borderId="1" xfId="1" applyNumberFormat="1" applyFont="1" applyBorder="1" applyAlignment="1">
      <alignment horizontal="center" vertical="top" wrapText="1"/>
    </xf>
    <xf numFmtId="166" fontId="31" fillId="0" borderId="1" xfId="1" applyNumberFormat="1" applyFont="1" applyBorder="1" applyAlignment="1">
      <alignment horizontal="center" wrapText="1"/>
    </xf>
    <xf numFmtId="0" fontId="0" fillId="0" borderId="10" xfId="0" applyBorder="1"/>
    <xf numFmtId="166" fontId="0" fillId="0" borderId="5" xfId="1" applyNumberFormat="1" applyFont="1" applyBorder="1"/>
    <xf numFmtId="166" fontId="0" fillId="0" borderId="0" xfId="0" applyNumberFormat="1" applyBorder="1"/>
    <xf numFmtId="166" fontId="31" fillId="0" borderId="43" xfId="1" applyNumberFormat="1" applyFont="1" applyBorder="1" applyAlignment="1">
      <alignment horizontal="center" wrapText="1"/>
    </xf>
    <xf numFmtId="166" fontId="0" fillId="0" borderId="8" xfId="1" applyNumberFormat="1" applyFont="1" applyBorder="1"/>
    <xf numFmtId="0" fontId="0" fillId="0" borderId="9" xfId="0" applyBorder="1"/>
    <xf numFmtId="166" fontId="0" fillId="0" borderId="7" xfId="1" applyNumberFormat="1" applyFont="1" applyBorder="1"/>
    <xf numFmtId="0" fontId="2" fillId="0" borderId="31" xfId="0" applyFont="1" applyBorder="1" applyAlignment="1"/>
    <xf numFmtId="166" fontId="33" fillId="0" borderId="43" xfId="1" applyNumberFormat="1" applyFont="1" applyBorder="1"/>
    <xf numFmtId="166" fontId="4" fillId="0" borderId="43" xfId="1" applyNumberFormat="1" applyFont="1" applyBorder="1"/>
    <xf numFmtId="166" fontId="4" fillId="0" borderId="43" xfId="1" applyNumberFormat="1" applyFont="1" applyFill="1" applyBorder="1" applyAlignment="1">
      <alignment wrapText="1"/>
    </xf>
    <xf numFmtId="0" fontId="4" fillId="0" borderId="43" xfId="0" applyFont="1" applyBorder="1" applyAlignment="1">
      <alignment wrapText="1"/>
    </xf>
    <xf numFmtId="0" fontId="4" fillId="0" borderId="43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166" fontId="4" fillId="0" borderId="43" xfId="1" applyNumberFormat="1" applyFont="1" applyBorder="1" applyAlignment="1">
      <alignment horizontal="center" wrapText="1"/>
    </xf>
    <xf numFmtId="166" fontId="4" fillId="0" borderId="43" xfId="1" applyNumberFormat="1" applyFont="1" applyBorder="1" applyAlignment="1">
      <alignment horizontal="center"/>
    </xf>
    <xf numFmtId="166" fontId="4" fillId="0" borderId="43" xfId="1" applyNumberFormat="1" applyFont="1" applyBorder="1" applyAlignment="1">
      <alignment horizontal="center" vertical="top" wrapText="1"/>
    </xf>
    <xf numFmtId="0" fontId="33" fillId="0" borderId="1" xfId="0" applyFont="1" applyBorder="1"/>
    <xf numFmtId="0" fontId="14" fillId="0" borderId="10" xfId="0" applyFont="1" applyBorder="1" applyAlignment="1">
      <alignment vertical="center" textRotation="255" wrapText="1"/>
    </xf>
    <xf numFmtId="0" fontId="0" fillId="3" borderId="25" xfId="0" applyFill="1" applyBorder="1"/>
    <xf numFmtId="0" fontId="0" fillId="3" borderId="26" xfId="0" applyFill="1" applyBorder="1"/>
    <xf numFmtId="0" fontId="10" fillId="3" borderId="26" xfId="0" applyFont="1" applyFill="1" applyBorder="1"/>
    <xf numFmtId="0" fontId="0" fillId="3" borderId="27" xfId="0" applyFill="1" applyBorder="1"/>
    <xf numFmtId="0" fontId="11" fillId="3" borderId="5" xfId="0" applyFont="1" applyFill="1" applyBorder="1"/>
    <xf numFmtId="0" fontId="10" fillId="3" borderId="12" xfId="0" applyFont="1" applyFill="1" applyBorder="1"/>
    <xf numFmtId="0" fontId="10" fillId="3" borderId="13" xfId="0" applyFont="1" applyFill="1" applyBorder="1"/>
    <xf numFmtId="0" fontId="10" fillId="3" borderId="14" xfId="0" applyFont="1" applyFill="1" applyBorder="1"/>
    <xf numFmtId="0" fontId="11" fillId="3" borderId="6" xfId="0" applyFont="1" applyFill="1" applyBorder="1"/>
    <xf numFmtId="0" fontId="0" fillId="3" borderId="5" xfId="0" applyFill="1" applyBorder="1"/>
    <xf numFmtId="0" fontId="10" fillId="3" borderId="15" xfId="0" applyFont="1" applyFill="1" applyBorder="1"/>
    <xf numFmtId="0" fontId="10" fillId="3" borderId="18" xfId="0" applyFont="1" applyFill="1" applyBorder="1"/>
    <xf numFmtId="0" fontId="10" fillId="3" borderId="19" xfId="0" applyFont="1" applyFill="1" applyBorder="1"/>
    <xf numFmtId="0" fontId="2" fillId="3" borderId="0" xfId="0" applyFont="1" applyFill="1" applyBorder="1"/>
    <xf numFmtId="0" fontId="10" fillId="3" borderId="23" xfId="0" applyFont="1" applyFill="1" applyBorder="1"/>
    <xf numFmtId="0" fontId="32" fillId="0" borderId="1" xfId="0" applyFont="1" applyBorder="1" applyAlignment="1">
      <alignment wrapText="1"/>
    </xf>
    <xf numFmtId="0" fontId="32" fillId="0" borderId="0" xfId="0" applyFont="1" applyBorder="1" applyAlignment="1">
      <alignment horizontal="center" wrapText="1"/>
    </xf>
    <xf numFmtId="0" fontId="0" fillId="0" borderId="44" xfId="0" applyBorder="1"/>
    <xf numFmtId="166" fontId="2" fillId="2" borderId="1" xfId="1" applyNumberFormat="1" applyFont="1" applyFill="1" applyBorder="1"/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/>
    <xf numFmtId="0" fontId="2" fillId="0" borderId="1" xfId="0" applyFont="1" applyBorder="1" applyAlignment="1">
      <alignment horizontal="center" wrapText="1"/>
    </xf>
    <xf numFmtId="0" fontId="0" fillId="4" borderId="35" xfId="0" applyFill="1" applyBorder="1"/>
    <xf numFmtId="0" fontId="0" fillId="4" borderId="36" xfId="0" applyFill="1" applyBorder="1"/>
    <xf numFmtId="166" fontId="0" fillId="4" borderId="36" xfId="1" applyNumberFormat="1" applyFont="1" applyFill="1" applyBorder="1"/>
    <xf numFmtId="166" fontId="12" fillId="4" borderId="1" xfId="1" applyNumberFormat="1" applyFont="1" applyFill="1" applyBorder="1" applyAlignment="1"/>
    <xf numFmtId="0" fontId="0" fillId="4" borderId="1" xfId="0" applyFill="1" applyBorder="1"/>
    <xf numFmtId="0" fontId="0" fillId="4" borderId="43" xfId="0" applyFill="1" applyBorder="1"/>
    <xf numFmtId="166" fontId="0" fillId="4" borderId="1" xfId="1" applyNumberFormat="1" applyFont="1" applyFill="1" applyBorder="1"/>
    <xf numFmtId="0" fontId="0" fillId="5" borderId="1" xfId="0" applyFill="1" applyBorder="1"/>
    <xf numFmtId="166" fontId="0" fillId="5" borderId="36" xfId="1" applyNumberFormat="1" applyFont="1" applyFill="1" applyBorder="1"/>
    <xf numFmtId="166" fontId="0" fillId="5" borderId="1" xfId="1" applyNumberFormat="1" applyFont="1" applyFill="1" applyBorder="1"/>
    <xf numFmtId="0" fontId="0" fillId="6" borderId="43" xfId="0" applyFill="1" applyBorder="1"/>
    <xf numFmtId="0" fontId="0" fillId="6" borderId="1" xfId="0" applyFill="1" applyBorder="1"/>
    <xf numFmtId="166" fontId="0" fillId="6" borderId="13" xfId="1" applyNumberFormat="1" applyFont="1" applyFill="1" applyBorder="1"/>
    <xf numFmtId="166" fontId="0" fillId="6" borderId="36" xfId="1" applyNumberFormat="1" applyFont="1" applyFill="1" applyBorder="1"/>
    <xf numFmtId="166" fontId="0" fillId="6" borderId="1" xfId="1" applyNumberFormat="1" applyFont="1" applyFill="1" applyBorder="1"/>
    <xf numFmtId="0" fontId="0" fillId="3" borderId="1" xfId="0" applyFill="1" applyBorder="1"/>
    <xf numFmtId="0" fontId="34" fillId="0" borderId="0" xfId="0" applyFont="1" applyBorder="1" applyAlignment="1"/>
    <xf numFmtId="0" fontId="8" fillId="0" borderId="0" xfId="0" applyFont="1" applyBorder="1"/>
    <xf numFmtId="0" fontId="8" fillId="0" borderId="0" xfId="0" applyFont="1"/>
    <xf numFmtId="0" fontId="2" fillId="0" borderId="18" xfId="0" applyFont="1" applyBorder="1"/>
    <xf numFmtId="0" fontId="2" fillId="0" borderId="19" xfId="0" applyFont="1" applyBorder="1"/>
    <xf numFmtId="0" fontId="34" fillId="0" borderId="12" xfId="0" applyFont="1" applyBorder="1" applyAlignment="1">
      <alignment wrapText="1"/>
    </xf>
    <xf numFmtId="0" fontId="34" fillId="0" borderId="13" xfId="0" applyFont="1" applyBorder="1" applyAlignment="1">
      <alignment wrapText="1"/>
    </xf>
    <xf numFmtId="0" fontId="34" fillId="0" borderId="14" xfId="0" applyFont="1" applyBorder="1" applyAlignment="1">
      <alignment wrapText="1"/>
    </xf>
    <xf numFmtId="0" fontId="32" fillId="0" borderId="43" xfId="0" applyFont="1" applyBorder="1" applyAlignment="1">
      <alignment wrapText="1"/>
    </xf>
    <xf numFmtId="0" fontId="0" fillId="0" borderId="43" xfId="0" applyBorder="1"/>
    <xf numFmtId="0" fontId="0" fillId="0" borderId="15" xfId="0" applyBorder="1"/>
    <xf numFmtId="0" fontId="0" fillId="0" borderId="16" xfId="0" applyBorder="1"/>
    <xf numFmtId="0" fontId="0" fillId="0" borderId="37" xfId="0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6" xfId="0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0" fillId="3" borderId="1" xfId="0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0" fontId="0" fillId="7" borderId="1" xfId="0" applyFill="1" applyBorder="1" applyAlignment="1">
      <alignment wrapText="1"/>
    </xf>
    <xf numFmtId="2" fontId="0" fillId="0" borderId="1" xfId="0" applyNumberFormat="1" applyBorder="1"/>
    <xf numFmtId="43" fontId="0" fillId="0" borderId="1" xfId="1" applyFont="1" applyBorder="1"/>
    <xf numFmtId="2" fontId="0" fillId="0" borderId="6" xfId="0" applyNumberFormat="1" applyBorder="1"/>
    <xf numFmtId="2" fontId="0" fillId="0" borderId="0" xfId="0" applyNumberFormat="1"/>
    <xf numFmtId="170" fontId="0" fillId="0" borderId="0" xfId="0" applyNumberFormat="1" applyBorder="1"/>
    <xf numFmtId="166" fontId="0" fillId="0" borderId="0" xfId="1" applyNumberFormat="1" applyFont="1"/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34" fillId="0" borderId="31" xfId="0" applyFont="1" applyBorder="1" applyAlignment="1">
      <alignment horizontal="center"/>
    </xf>
    <xf numFmtId="0" fontId="34" fillId="0" borderId="3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4" borderId="3" xfId="0" applyFill="1" applyBorder="1" applyAlignment="1">
      <alignment horizontal="center" wrapText="1"/>
    </xf>
    <xf numFmtId="0" fontId="0" fillId="4" borderId="10" xfId="0" applyFill="1" applyBorder="1" applyAlignment="1">
      <alignment horizontal="center" wrapText="1"/>
    </xf>
    <xf numFmtId="0" fontId="0" fillId="4" borderId="7" xfId="0" applyFill="1" applyBorder="1" applyAlignment="1">
      <alignment horizontal="center" wrapText="1"/>
    </xf>
    <xf numFmtId="0" fontId="0" fillId="4" borderId="9" xfId="0" applyFill="1" applyBorder="1" applyAlignment="1">
      <alignment horizontal="center" wrapText="1"/>
    </xf>
    <xf numFmtId="0" fontId="23" fillId="0" borderId="5" xfId="0" applyFont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center" wrapText="1"/>
    </xf>
    <xf numFmtId="0" fontId="28" fillId="0" borderId="17" xfId="0" applyFont="1" applyBorder="1" applyAlignment="1">
      <alignment horizontal="center" vertical="center" wrapText="1"/>
    </xf>
    <xf numFmtId="0" fontId="28" fillId="0" borderId="33" xfId="0" applyFont="1" applyBorder="1" applyAlignment="1">
      <alignment horizontal="center" vertical="center" wrapText="1"/>
    </xf>
    <xf numFmtId="0" fontId="28" fillId="0" borderId="34" xfId="0" applyFont="1" applyBorder="1" applyAlignment="1">
      <alignment horizontal="center" vertical="center" wrapText="1"/>
    </xf>
    <xf numFmtId="0" fontId="24" fillId="0" borderId="31" xfId="0" applyFont="1" applyBorder="1" applyAlignment="1">
      <alignment horizontal="center"/>
    </xf>
    <xf numFmtId="0" fontId="24" fillId="0" borderId="28" xfId="0" applyFont="1" applyBorder="1" applyAlignment="1">
      <alignment horizontal="center"/>
    </xf>
    <xf numFmtId="0" fontId="24" fillId="0" borderId="32" xfId="0" applyFont="1" applyBorder="1" applyAlignment="1">
      <alignment horizontal="center"/>
    </xf>
    <xf numFmtId="0" fontId="28" fillId="3" borderId="1" xfId="0" applyFont="1" applyFill="1" applyBorder="1" applyAlignment="1">
      <alignment horizontal="center"/>
    </xf>
    <xf numFmtId="0" fontId="35" fillId="3" borderId="1" xfId="0" applyFont="1" applyFill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2" fontId="0" fillId="0" borderId="42" xfId="0" applyNumberFormat="1" applyBorder="1" applyAlignment="1">
      <alignment horizontal="right"/>
    </xf>
    <xf numFmtId="170" fontId="0" fillId="0" borderId="0" xfId="0" applyNumberFormat="1"/>
    <xf numFmtId="182" fontId="0" fillId="0" borderId="0" xfId="0" applyNumberFormat="1"/>
    <xf numFmtId="166" fontId="0" fillId="0" borderId="1" xfId="0" applyNumberFormat="1" applyBorder="1" applyAlignment="1">
      <alignment wrapText="1"/>
    </xf>
    <xf numFmtId="177" fontId="0" fillId="0" borderId="1" xfId="0" applyNumberFormat="1" applyBorder="1"/>
    <xf numFmtId="182" fontId="0" fillId="0" borderId="1" xfId="1" applyNumberFormat="1" applyFont="1" applyBorder="1"/>
    <xf numFmtId="43" fontId="0" fillId="0" borderId="1" xfId="1" applyNumberFormat="1" applyFont="1" applyBorder="1"/>
    <xf numFmtId="166" fontId="0" fillId="0" borderId="2" xfId="0" applyNumberFormat="1" applyFill="1" applyBorder="1" applyAlignment="1">
      <alignment wrapText="1"/>
    </xf>
    <xf numFmtId="167" fontId="2" fillId="0" borderId="1" xfId="1" applyNumberFormat="1" applyFont="1" applyBorder="1"/>
  </cellXfs>
  <cellStyles count="7">
    <cellStyle name="Millares" xfId="1" builtinId="3"/>
    <cellStyle name="Millares 2" xfId="2"/>
    <cellStyle name="Moneda 2" xfId="3"/>
    <cellStyle name="Normal" xfId="0" builtinId="0"/>
    <cellStyle name="Normal 2" xfId="6"/>
    <cellStyle name="Normal_COMUNIC 2011" xfId="5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114300</xdr:rowOff>
    </xdr:from>
    <xdr:to>
      <xdr:col>8</xdr:col>
      <xdr:colOff>400050</xdr:colOff>
      <xdr:row>27</xdr:row>
      <xdr:rowOff>133350</xdr:rowOff>
    </xdr:to>
    <xdr:pic>
      <xdr:nvPicPr>
        <xdr:cNvPr id="3" name="2 Imagen" descr="Tryck Yale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76300"/>
          <a:ext cx="6496050" cy="42100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57150</xdr:colOff>
      <xdr:row>3</xdr:row>
      <xdr:rowOff>19051</xdr:rowOff>
    </xdr:from>
    <xdr:to>
      <xdr:col>20</xdr:col>
      <xdr:colOff>657225</xdr:colOff>
      <xdr:row>4</xdr:row>
      <xdr:rowOff>133351</xdr:rowOff>
    </xdr:to>
    <xdr:pic>
      <xdr:nvPicPr>
        <xdr:cNvPr id="5" name="il_fi" descr="http://us.cdn2.123rf.com/168nwm/mechanik/mechanik0902/mechanik090200078/4351828-vector-de-cartoon-entrega--camion-de-carga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24725" y="619126"/>
          <a:ext cx="600075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123825</xdr:colOff>
      <xdr:row>5</xdr:row>
      <xdr:rowOff>66675</xdr:rowOff>
    </xdr:from>
    <xdr:to>
      <xdr:col>20</xdr:col>
      <xdr:colOff>723900</xdr:colOff>
      <xdr:row>7</xdr:row>
      <xdr:rowOff>114301</xdr:rowOff>
    </xdr:to>
    <xdr:pic>
      <xdr:nvPicPr>
        <xdr:cNvPr id="7" name="il_fi" descr="http://us.cdn2.123rf.com/168nwm/mechanik/mechanik0902/mechanik090200078/4351828-vector-de-cartoon-entrega--camion-de-carga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43700" y="1247775"/>
          <a:ext cx="600075" cy="6096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114300</xdr:colOff>
      <xdr:row>7</xdr:row>
      <xdr:rowOff>76200</xdr:rowOff>
    </xdr:from>
    <xdr:to>
      <xdr:col>20</xdr:col>
      <xdr:colOff>714375</xdr:colOff>
      <xdr:row>9</xdr:row>
      <xdr:rowOff>152401</xdr:rowOff>
    </xdr:to>
    <xdr:pic>
      <xdr:nvPicPr>
        <xdr:cNvPr id="8" name="il_fi" descr="http://us.cdn2.123rf.com/168nwm/mechanik/mechanik0902/mechanik090200078/4351828-vector-de-cartoon-entrega--camion-de-carga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34175" y="1819275"/>
          <a:ext cx="600075" cy="6858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161925</xdr:colOff>
      <xdr:row>9</xdr:row>
      <xdr:rowOff>180975</xdr:rowOff>
    </xdr:from>
    <xdr:to>
      <xdr:col>20</xdr:col>
      <xdr:colOff>762000</xdr:colOff>
      <xdr:row>11</xdr:row>
      <xdr:rowOff>161926</xdr:rowOff>
    </xdr:to>
    <xdr:pic>
      <xdr:nvPicPr>
        <xdr:cNvPr id="10" name="il_fi" descr="http://us.cdn2.123rf.com/168nwm/mechanik/mechanik0902/mechanik090200078/4351828-vector-de-cartoon-entrega--camion-de-carga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81800" y="2533650"/>
          <a:ext cx="600075" cy="6286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152400</xdr:colOff>
      <xdr:row>12</xdr:row>
      <xdr:rowOff>28575</xdr:rowOff>
    </xdr:from>
    <xdr:to>
      <xdr:col>20</xdr:col>
      <xdr:colOff>752475</xdr:colOff>
      <xdr:row>14</xdr:row>
      <xdr:rowOff>180976</xdr:rowOff>
    </xdr:to>
    <xdr:pic>
      <xdr:nvPicPr>
        <xdr:cNvPr id="12" name="il_fi" descr="http://us.cdn2.123rf.com/168nwm/mechanik/mechanik0902/mechanik090200078/4351828-vector-de-cartoon-entrega--camion-de-carga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72275" y="3181350"/>
          <a:ext cx="600075" cy="7239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85725</xdr:colOff>
      <xdr:row>15</xdr:row>
      <xdr:rowOff>47625</xdr:rowOff>
    </xdr:from>
    <xdr:to>
      <xdr:col>21</xdr:col>
      <xdr:colOff>9525</xdr:colOff>
      <xdr:row>17</xdr:row>
      <xdr:rowOff>247650</xdr:rowOff>
    </xdr:to>
    <xdr:pic>
      <xdr:nvPicPr>
        <xdr:cNvPr id="14" name="il_fi" descr="http://us.cdn2.123rf.com/168nwm/mechanik/mechanik0902/mechanik090200078/4351828-vector-de-cartoon-entrega--camion-de-carga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05600" y="3981450"/>
          <a:ext cx="895350" cy="7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152400</xdr:colOff>
      <xdr:row>2</xdr:row>
      <xdr:rowOff>47624</xdr:rowOff>
    </xdr:from>
    <xdr:to>
      <xdr:col>14</xdr:col>
      <xdr:colOff>71859</xdr:colOff>
      <xdr:row>2</xdr:row>
      <xdr:rowOff>352425</xdr:rowOff>
    </xdr:to>
    <xdr:pic>
      <xdr:nvPicPr>
        <xdr:cNvPr id="28" name="27 Imagen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619625" y="447674"/>
          <a:ext cx="414759" cy="304801"/>
        </a:xfrm>
        <a:prstGeom prst="rect">
          <a:avLst/>
        </a:prstGeom>
      </xdr:spPr>
    </xdr:pic>
    <xdr:clientData/>
  </xdr:twoCellAnchor>
  <xdr:twoCellAnchor editAs="oneCell">
    <xdr:from>
      <xdr:col>13</xdr:col>
      <xdr:colOff>57150</xdr:colOff>
      <xdr:row>8</xdr:row>
      <xdr:rowOff>38099</xdr:rowOff>
    </xdr:from>
    <xdr:to>
      <xdr:col>14</xdr:col>
      <xdr:colOff>224259</xdr:colOff>
      <xdr:row>8</xdr:row>
      <xdr:rowOff>342900</xdr:rowOff>
    </xdr:to>
    <xdr:pic>
      <xdr:nvPicPr>
        <xdr:cNvPr id="30" name="29 Imagen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72025" y="1981199"/>
          <a:ext cx="414759" cy="304801"/>
        </a:xfrm>
        <a:prstGeom prst="rect">
          <a:avLst/>
        </a:prstGeom>
      </xdr:spPr>
    </xdr:pic>
    <xdr:clientData/>
  </xdr:twoCellAnchor>
  <xdr:twoCellAnchor editAs="oneCell">
    <xdr:from>
      <xdr:col>13</xdr:col>
      <xdr:colOff>171450</xdr:colOff>
      <xdr:row>11</xdr:row>
      <xdr:rowOff>152399</xdr:rowOff>
    </xdr:from>
    <xdr:to>
      <xdr:col>15</xdr:col>
      <xdr:colOff>90909</xdr:colOff>
      <xdr:row>12</xdr:row>
      <xdr:rowOff>57150</xdr:rowOff>
    </xdr:to>
    <xdr:pic>
      <xdr:nvPicPr>
        <xdr:cNvPr id="31" name="30 Imagen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86325" y="2905124"/>
          <a:ext cx="414759" cy="304801"/>
        </a:xfrm>
        <a:prstGeom prst="rect">
          <a:avLst/>
        </a:prstGeom>
      </xdr:spPr>
    </xdr:pic>
    <xdr:clientData/>
  </xdr:twoCellAnchor>
  <xdr:twoCellAnchor>
    <xdr:from>
      <xdr:col>2</xdr:col>
      <xdr:colOff>47625</xdr:colOff>
      <xdr:row>0</xdr:row>
      <xdr:rowOff>95250</xdr:rowOff>
    </xdr:from>
    <xdr:to>
      <xdr:col>11</xdr:col>
      <xdr:colOff>219075</xdr:colOff>
      <xdr:row>0</xdr:row>
      <xdr:rowOff>114300</xdr:rowOff>
    </xdr:to>
    <xdr:cxnSp macro="">
      <xdr:nvCxnSpPr>
        <xdr:cNvPr id="3" name="2 Conector recto de flecha"/>
        <xdr:cNvCxnSpPr/>
      </xdr:nvCxnSpPr>
      <xdr:spPr>
        <a:xfrm>
          <a:off x="885825" y="95250"/>
          <a:ext cx="3552825" cy="190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76200</xdr:colOff>
      <xdr:row>0</xdr:row>
      <xdr:rowOff>104775</xdr:rowOff>
    </xdr:from>
    <xdr:to>
      <xdr:col>20</xdr:col>
      <xdr:colOff>952500</xdr:colOff>
      <xdr:row>0</xdr:row>
      <xdr:rowOff>104776</xdr:rowOff>
    </xdr:to>
    <xdr:cxnSp macro="">
      <xdr:nvCxnSpPr>
        <xdr:cNvPr id="33" name="32 Conector recto de flecha"/>
        <xdr:cNvCxnSpPr/>
      </xdr:nvCxnSpPr>
      <xdr:spPr>
        <a:xfrm flipH="1" flipV="1">
          <a:off x="5038725" y="104775"/>
          <a:ext cx="2533650" cy="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295275</xdr:colOff>
      <xdr:row>1</xdr:row>
      <xdr:rowOff>38100</xdr:rowOff>
    </xdr:from>
    <xdr:to>
      <xdr:col>0</xdr:col>
      <xdr:colOff>352425</xdr:colOff>
      <xdr:row>10</xdr:row>
      <xdr:rowOff>0</xdr:rowOff>
    </xdr:to>
    <xdr:sp macro="" textlink="">
      <xdr:nvSpPr>
        <xdr:cNvPr id="34" name="33 Flecha abajo"/>
        <xdr:cNvSpPr/>
      </xdr:nvSpPr>
      <xdr:spPr>
        <a:xfrm>
          <a:off x="295275" y="238125"/>
          <a:ext cx="57150" cy="2314575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0</xdr:col>
      <xdr:colOff>211456</xdr:colOff>
      <xdr:row>12</xdr:row>
      <xdr:rowOff>9526</xdr:rowOff>
    </xdr:from>
    <xdr:to>
      <xdr:col>0</xdr:col>
      <xdr:colOff>257175</xdr:colOff>
      <xdr:row>18</xdr:row>
      <xdr:rowOff>180975</xdr:rowOff>
    </xdr:to>
    <xdr:sp macro="" textlink="">
      <xdr:nvSpPr>
        <xdr:cNvPr id="35" name="34 Flecha abajo"/>
        <xdr:cNvSpPr/>
      </xdr:nvSpPr>
      <xdr:spPr>
        <a:xfrm rot="10800000" flipH="1">
          <a:off x="211456" y="3162301"/>
          <a:ext cx="45719" cy="1724024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3</xdr:col>
      <xdr:colOff>749618</xdr:colOff>
      <xdr:row>19</xdr:row>
      <xdr:rowOff>73343</xdr:rowOff>
    </xdr:from>
    <xdr:to>
      <xdr:col>9</xdr:col>
      <xdr:colOff>66678</xdr:colOff>
      <xdr:row>19</xdr:row>
      <xdr:rowOff>133353</xdr:rowOff>
    </xdr:to>
    <xdr:sp macro="" textlink="">
      <xdr:nvSpPr>
        <xdr:cNvPr id="15" name="14 Flecha abajo"/>
        <xdr:cNvSpPr/>
      </xdr:nvSpPr>
      <xdr:spPr>
        <a:xfrm rot="16200000">
          <a:off x="3068956" y="4440555"/>
          <a:ext cx="60010" cy="1383985"/>
        </a:xfrm>
        <a:prstGeom prst="downArrow">
          <a:avLst>
            <a:gd name="adj1" fmla="val 50000"/>
            <a:gd name="adj2" fmla="val 61628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12</xdr:col>
      <xdr:colOff>66675</xdr:colOff>
      <xdr:row>19</xdr:row>
      <xdr:rowOff>92393</xdr:rowOff>
    </xdr:from>
    <xdr:to>
      <xdr:col>18</xdr:col>
      <xdr:colOff>352431</xdr:colOff>
      <xdr:row>19</xdr:row>
      <xdr:rowOff>138112</xdr:rowOff>
    </xdr:to>
    <xdr:sp macro="" textlink="">
      <xdr:nvSpPr>
        <xdr:cNvPr id="16" name="15 Flecha abajo"/>
        <xdr:cNvSpPr/>
      </xdr:nvSpPr>
      <xdr:spPr>
        <a:xfrm rot="5400000">
          <a:off x="5396868" y="4258625"/>
          <a:ext cx="45719" cy="1771656"/>
        </a:xfrm>
        <a:prstGeom prst="downArrow">
          <a:avLst>
            <a:gd name="adj1" fmla="val 50000"/>
            <a:gd name="adj2" fmla="val 61628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19</xdr:col>
      <xdr:colOff>28575</xdr:colOff>
      <xdr:row>19</xdr:row>
      <xdr:rowOff>114300</xdr:rowOff>
    </xdr:from>
    <xdr:to>
      <xdr:col>19</xdr:col>
      <xdr:colOff>352425</xdr:colOff>
      <xdr:row>19</xdr:row>
      <xdr:rowOff>114300</xdr:rowOff>
    </xdr:to>
    <xdr:cxnSp macro="">
      <xdr:nvCxnSpPr>
        <xdr:cNvPr id="17" name="16 Conector recto de flecha"/>
        <xdr:cNvCxnSpPr/>
      </xdr:nvCxnSpPr>
      <xdr:spPr>
        <a:xfrm>
          <a:off x="6372225" y="5143500"/>
          <a:ext cx="32385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447675</xdr:colOff>
      <xdr:row>19</xdr:row>
      <xdr:rowOff>104775</xdr:rowOff>
    </xdr:from>
    <xdr:to>
      <xdr:col>21</xdr:col>
      <xdr:colOff>9526</xdr:colOff>
      <xdr:row>19</xdr:row>
      <xdr:rowOff>114300</xdr:rowOff>
    </xdr:to>
    <xdr:cxnSp macro="">
      <xdr:nvCxnSpPr>
        <xdr:cNvPr id="22" name="21 Conector recto de flecha"/>
        <xdr:cNvCxnSpPr/>
      </xdr:nvCxnSpPr>
      <xdr:spPr>
        <a:xfrm flipH="1" flipV="1">
          <a:off x="7162800" y="5133975"/>
          <a:ext cx="533401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66675</xdr:colOff>
      <xdr:row>3</xdr:row>
      <xdr:rowOff>38100</xdr:rowOff>
    </xdr:from>
    <xdr:to>
      <xdr:col>19</xdr:col>
      <xdr:colOff>112394</xdr:colOff>
      <xdr:row>8</xdr:row>
      <xdr:rowOff>342900</xdr:rowOff>
    </xdr:to>
    <xdr:sp macro="" textlink="">
      <xdr:nvSpPr>
        <xdr:cNvPr id="25" name="24 Flecha abajo"/>
        <xdr:cNvSpPr/>
      </xdr:nvSpPr>
      <xdr:spPr>
        <a:xfrm>
          <a:off x="6410325" y="828675"/>
          <a:ext cx="45719" cy="1457325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19</xdr:col>
      <xdr:colOff>78106</xdr:colOff>
      <xdr:row>11</xdr:row>
      <xdr:rowOff>9526</xdr:rowOff>
    </xdr:from>
    <xdr:to>
      <xdr:col>19</xdr:col>
      <xdr:colOff>123825</xdr:colOff>
      <xdr:row>18</xdr:row>
      <xdr:rowOff>180975</xdr:rowOff>
    </xdr:to>
    <xdr:sp macro="" textlink="">
      <xdr:nvSpPr>
        <xdr:cNvPr id="26" name="25 Flecha abajo"/>
        <xdr:cNvSpPr/>
      </xdr:nvSpPr>
      <xdr:spPr>
        <a:xfrm rot="10800000" flipH="1">
          <a:off x="6421756" y="2886076"/>
          <a:ext cx="45719" cy="2124074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RABAJO%2520COLOMBINA%2520GUIA%252019%2520REAL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BICAJE"/>
      <sheetName val="EQUIPOS DE CARGA "/>
      <sheetName val="ALMACEN"/>
      <sheetName val="NOMINA"/>
      <sheetName val="COSTOS CAMIONES"/>
      <sheetName val="T ENTREGA BODEGA vs CLIENTE"/>
    </sheetNames>
    <sheetDataSet>
      <sheetData sheetId="0">
        <row r="50">
          <cell r="M50">
            <v>50.665304642979223</v>
          </cell>
          <cell r="P50">
            <v>2279.9387089340648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"/>
  <sheetViews>
    <sheetView topLeftCell="C1" workbookViewId="0">
      <selection activeCell="P3" sqref="P3"/>
    </sheetView>
  </sheetViews>
  <sheetFormatPr baseColWidth="10" defaultRowHeight="15" x14ac:dyDescent="0.25"/>
  <cols>
    <col min="2" max="2" width="36.140625" customWidth="1"/>
    <col min="3" max="3" width="11.42578125" style="11" customWidth="1"/>
    <col min="4" max="16" width="11.42578125" customWidth="1"/>
    <col min="17" max="17" width="11.42578125" style="11"/>
  </cols>
  <sheetData>
    <row r="1" spans="1:18" s="11" customFormat="1" x14ac:dyDescent="0.25"/>
    <row r="2" spans="1:18" ht="105" x14ac:dyDescent="0.25">
      <c r="A2" s="4" t="s">
        <v>0</v>
      </c>
      <c r="B2" s="4" t="s">
        <v>1</v>
      </c>
      <c r="C2" s="15" t="s">
        <v>79</v>
      </c>
      <c r="D2" s="211" t="s">
        <v>65</v>
      </c>
      <c r="E2" s="212" t="s">
        <v>64</v>
      </c>
      <c r="F2" s="213" t="s">
        <v>63</v>
      </c>
      <c r="G2" s="213" t="s">
        <v>66</v>
      </c>
      <c r="H2" s="214" t="s">
        <v>67</v>
      </c>
      <c r="I2" s="213" t="s">
        <v>68</v>
      </c>
      <c r="J2" s="213" t="s">
        <v>69</v>
      </c>
      <c r="K2" s="2" t="s">
        <v>49</v>
      </c>
      <c r="L2" s="22" t="s">
        <v>54</v>
      </c>
      <c r="M2" s="1" t="s">
        <v>71</v>
      </c>
      <c r="N2" s="1" t="s">
        <v>70</v>
      </c>
      <c r="O2" s="1" t="s">
        <v>50</v>
      </c>
      <c r="P2" s="1" t="s">
        <v>54</v>
      </c>
      <c r="Q2" s="1"/>
      <c r="R2" s="1"/>
    </row>
    <row r="3" spans="1:18" x14ac:dyDescent="0.25">
      <c r="A3" s="6">
        <v>100001</v>
      </c>
      <c r="B3" s="7" t="s">
        <v>2</v>
      </c>
      <c r="C3" s="49" t="s">
        <v>72</v>
      </c>
      <c r="D3" s="5">
        <v>167.56484716778075</v>
      </c>
      <c r="E3" s="12">
        <v>42.896600874951858</v>
      </c>
      <c r="F3" s="13">
        <v>21.448300437475929</v>
      </c>
      <c r="G3" s="14">
        <v>16.762694053321212</v>
      </c>
      <c r="H3" s="16">
        <v>29.334714593312121</v>
      </c>
      <c r="I3" s="17">
        <v>61.374999999999986</v>
      </c>
      <c r="J3" s="20">
        <v>15.139976779394772</v>
      </c>
      <c r="K3" s="19">
        <f>SUM(D3:J3)</f>
        <v>354.52213390623666</v>
      </c>
      <c r="L3" s="21">
        <f>0.5*0.4*0.6</f>
        <v>0.12</v>
      </c>
      <c r="M3" s="31">
        <f>1*1.2*1.6</f>
        <v>1.92</v>
      </c>
      <c r="N3" s="45">
        <f>+M3/L3</f>
        <v>16</v>
      </c>
      <c r="O3" s="19">
        <f>+K3/N3</f>
        <v>22.157633369139791</v>
      </c>
      <c r="P3" s="32">
        <f>+O3*M3</f>
        <v>42.5426560687484</v>
      </c>
      <c r="Q3" s="219"/>
      <c r="R3" s="218"/>
    </row>
    <row r="4" spans="1:18" x14ac:dyDescent="0.25">
      <c r="A4" s="6">
        <v>100002</v>
      </c>
      <c r="B4" s="7" t="s">
        <v>3</v>
      </c>
      <c r="C4" s="50" t="s">
        <v>72</v>
      </c>
      <c r="D4" s="5">
        <v>117.72961436010883</v>
      </c>
      <c r="E4" s="12">
        <v>30.138781276187849</v>
      </c>
      <c r="F4" s="13">
        <v>15.069390638093921</v>
      </c>
      <c r="G4" s="14">
        <v>11.777324062235959</v>
      </c>
      <c r="H4" s="16">
        <v>20.610317108912927</v>
      </c>
      <c r="I4" s="17">
        <v>61.374999999999986</v>
      </c>
      <c r="J4" s="20">
        <v>10.637216921007475</v>
      </c>
      <c r="K4" s="19">
        <f t="shared" ref="K4:K50" si="0">SUM(D4:J4)</f>
        <v>267.3376443665469</v>
      </c>
      <c r="L4" s="21">
        <f t="shared" ref="L4:L50" si="1">0.5*0.4*0.6</f>
        <v>0.12</v>
      </c>
      <c r="M4" s="31">
        <f t="shared" ref="M4:M50" si="2">1*1.2*1.6</f>
        <v>1.92</v>
      </c>
      <c r="N4" s="45">
        <f t="shared" ref="N4:N50" si="3">+M4/L4</f>
        <v>16</v>
      </c>
      <c r="O4" s="19">
        <f t="shared" ref="O4:O50" si="4">+K4/N4</f>
        <v>16.708602772909181</v>
      </c>
      <c r="P4" s="32">
        <f t="shared" ref="P4:P50" si="5">+O4*M4</f>
        <v>32.080517323985625</v>
      </c>
      <c r="Q4" s="219"/>
      <c r="R4" s="218"/>
    </row>
    <row r="5" spans="1:18" x14ac:dyDescent="0.25">
      <c r="A5" s="6">
        <v>100003</v>
      </c>
      <c r="B5" s="7" t="s">
        <v>4</v>
      </c>
      <c r="C5" s="50" t="s">
        <v>72</v>
      </c>
      <c r="D5" s="5">
        <v>28.081211681965737</v>
      </c>
      <c r="E5" s="12">
        <v>7.1887901905832265</v>
      </c>
      <c r="F5" s="13">
        <v>3.5943950952916142</v>
      </c>
      <c r="G5" s="14">
        <v>2.8091617545535548</v>
      </c>
      <c r="H5" s="16">
        <v>4.9160330704687203</v>
      </c>
      <c r="I5" s="17">
        <v>74.999999999999986</v>
      </c>
      <c r="J5" s="20">
        <v>2.5372200672646685</v>
      </c>
      <c r="K5" s="19">
        <f t="shared" si="0"/>
        <v>124.12681186012752</v>
      </c>
      <c r="L5" s="21">
        <f t="shared" si="1"/>
        <v>0.12</v>
      </c>
      <c r="M5" s="31">
        <f t="shared" si="2"/>
        <v>1.92</v>
      </c>
      <c r="N5" s="45">
        <f t="shared" si="3"/>
        <v>16</v>
      </c>
      <c r="O5" s="19">
        <f t="shared" si="4"/>
        <v>7.7579257412579699</v>
      </c>
      <c r="P5" s="32">
        <f t="shared" si="5"/>
        <v>14.895217423215302</v>
      </c>
      <c r="Q5" s="219"/>
      <c r="R5" s="218"/>
    </row>
    <row r="6" spans="1:18" x14ac:dyDescent="0.25">
      <c r="A6" s="6">
        <v>100004</v>
      </c>
      <c r="B6" s="7" t="s">
        <v>5</v>
      </c>
      <c r="C6" s="50" t="s">
        <v>72</v>
      </c>
      <c r="D6" s="5">
        <v>62.541138636363577</v>
      </c>
      <c r="E6" s="12">
        <v>16.01053149090907</v>
      </c>
      <c r="F6" s="13">
        <v>8.0052657454545351</v>
      </c>
      <c r="G6" s="14">
        <v>6.2564314080625776</v>
      </c>
      <c r="H6" s="16">
        <v>10.94875496410951</v>
      </c>
      <c r="I6" s="17">
        <v>64.125</v>
      </c>
      <c r="J6" s="20">
        <v>5.6507758203208489</v>
      </c>
      <c r="K6" s="19">
        <f t="shared" si="0"/>
        <v>173.53789806522013</v>
      </c>
      <c r="L6" s="21">
        <f t="shared" si="1"/>
        <v>0.12</v>
      </c>
      <c r="M6" s="31">
        <f t="shared" si="2"/>
        <v>1.92</v>
      </c>
      <c r="N6" s="45">
        <f t="shared" si="3"/>
        <v>16</v>
      </c>
      <c r="O6" s="19">
        <f t="shared" si="4"/>
        <v>10.846118629076258</v>
      </c>
      <c r="P6" s="32">
        <f t="shared" si="5"/>
        <v>20.824547767826417</v>
      </c>
      <c r="Q6" s="219"/>
      <c r="R6" s="218"/>
    </row>
    <row r="7" spans="1:18" x14ac:dyDescent="0.25">
      <c r="A7" s="6">
        <v>100005</v>
      </c>
      <c r="B7" s="7" t="s">
        <v>6</v>
      </c>
      <c r="C7" s="50" t="s">
        <v>72</v>
      </c>
      <c r="D7" s="5">
        <v>28.387968504788279</v>
      </c>
      <c r="E7" s="12">
        <v>7.2673199372257979</v>
      </c>
      <c r="F7" s="13">
        <v>3.6336599686128985</v>
      </c>
      <c r="G7" s="14">
        <v>2.8398488041146983</v>
      </c>
      <c r="H7" s="16">
        <v>4.9697354072007212</v>
      </c>
      <c r="I7" s="17">
        <v>106.87500000000003</v>
      </c>
      <c r="J7" s="20">
        <v>2.564936448432634</v>
      </c>
      <c r="K7" s="19">
        <f t="shared" si="0"/>
        <v>156.53846907037504</v>
      </c>
      <c r="L7" s="21">
        <f t="shared" si="1"/>
        <v>0.12</v>
      </c>
      <c r="M7" s="31">
        <f t="shared" si="2"/>
        <v>1.92</v>
      </c>
      <c r="N7" s="45">
        <f t="shared" si="3"/>
        <v>16</v>
      </c>
      <c r="O7" s="19">
        <f t="shared" si="4"/>
        <v>9.7836543168984402</v>
      </c>
      <c r="P7" s="32">
        <f t="shared" si="5"/>
        <v>18.784616288445005</v>
      </c>
      <c r="Q7" s="219"/>
      <c r="R7" s="218"/>
    </row>
    <row r="8" spans="1:18" x14ac:dyDescent="0.25">
      <c r="A8" s="6">
        <v>100006</v>
      </c>
      <c r="B8" s="7" t="s">
        <v>7</v>
      </c>
      <c r="C8" s="50" t="s">
        <v>72</v>
      </c>
      <c r="D8" s="5">
        <v>26.586915036513933</v>
      </c>
      <c r="E8" s="12">
        <v>6.8062502493475634</v>
      </c>
      <c r="F8" s="13">
        <v>3.4031251246737817</v>
      </c>
      <c r="G8" s="14">
        <v>2.6596767168741886</v>
      </c>
      <c r="H8" s="16">
        <v>4.6544342545298303</v>
      </c>
      <c r="I8" s="17">
        <v>126.25</v>
      </c>
      <c r="J8" s="20">
        <v>2.4022059703579637</v>
      </c>
      <c r="K8" s="19">
        <f t="shared" si="0"/>
        <v>172.76260735229727</v>
      </c>
      <c r="L8" s="21">
        <f t="shared" si="1"/>
        <v>0.12</v>
      </c>
      <c r="M8" s="31">
        <f t="shared" si="2"/>
        <v>1.92</v>
      </c>
      <c r="N8" s="45">
        <f t="shared" si="3"/>
        <v>16</v>
      </c>
      <c r="O8" s="19">
        <f t="shared" si="4"/>
        <v>10.797662959518579</v>
      </c>
      <c r="P8" s="32">
        <f t="shared" si="5"/>
        <v>20.73151288227567</v>
      </c>
      <c r="Q8" s="219"/>
      <c r="R8" s="218"/>
    </row>
    <row r="9" spans="1:18" x14ac:dyDescent="0.25">
      <c r="A9" s="6">
        <v>100007</v>
      </c>
      <c r="B9" s="6" t="s">
        <v>8</v>
      </c>
      <c r="C9" s="51" t="s">
        <v>73</v>
      </c>
      <c r="D9" s="5">
        <v>108.74016326816434</v>
      </c>
      <c r="E9" s="12">
        <v>27.837481796650071</v>
      </c>
      <c r="F9" s="13">
        <v>13.918740898325032</v>
      </c>
      <c r="G9" s="14">
        <v>10.878045837068136</v>
      </c>
      <c r="H9" s="16">
        <v>19.03658021486924</v>
      </c>
      <c r="I9" s="17">
        <v>23.4</v>
      </c>
      <c r="J9" s="20">
        <v>9.8249935752882589</v>
      </c>
      <c r="K9" s="19">
        <f t="shared" si="0"/>
        <v>213.6360055903651</v>
      </c>
      <c r="L9" s="21">
        <f t="shared" si="1"/>
        <v>0.12</v>
      </c>
      <c r="M9" s="31">
        <f t="shared" si="2"/>
        <v>1.92</v>
      </c>
      <c r="N9" s="45">
        <f t="shared" si="3"/>
        <v>16</v>
      </c>
      <c r="O9" s="19">
        <f t="shared" si="4"/>
        <v>13.352250349397819</v>
      </c>
      <c r="P9" s="32">
        <f t="shared" si="5"/>
        <v>25.636320670843812</v>
      </c>
      <c r="Q9" s="219"/>
      <c r="R9" s="218"/>
    </row>
    <row r="10" spans="1:18" x14ac:dyDescent="0.25">
      <c r="A10" s="6">
        <v>100008</v>
      </c>
      <c r="B10" s="6" t="s">
        <v>9</v>
      </c>
      <c r="C10" s="51" t="s">
        <v>73</v>
      </c>
      <c r="D10" s="5">
        <v>45.95438135030583</v>
      </c>
      <c r="E10" s="12">
        <v>11.76432162567829</v>
      </c>
      <c r="F10" s="13">
        <v>5.8821608128391434</v>
      </c>
      <c r="G10" s="14">
        <v>4.5971410352764188</v>
      </c>
      <c r="H10" s="16">
        <v>8.0449968117337338</v>
      </c>
      <c r="I10" s="17">
        <v>23.399999999999995</v>
      </c>
      <c r="J10" s="20">
        <v>4.1521135149452775</v>
      </c>
      <c r="K10" s="19">
        <f t="shared" si="0"/>
        <v>103.79511515077868</v>
      </c>
      <c r="L10" s="21">
        <f t="shared" si="1"/>
        <v>0.12</v>
      </c>
      <c r="M10" s="31">
        <f t="shared" si="2"/>
        <v>1.92</v>
      </c>
      <c r="N10" s="45">
        <f t="shared" si="3"/>
        <v>16</v>
      </c>
      <c r="O10" s="19">
        <f t="shared" si="4"/>
        <v>6.4871946969236678</v>
      </c>
      <c r="P10" s="32">
        <f t="shared" si="5"/>
        <v>12.455413818093442</v>
      </c>
      <c r="Q10" s="219"/>
      <c r="R10" s="218"/>
    </row>
    <row r="11" spans="1:18" x14ac:dyDescent="0.25">
      <c r="A11" s="6">
        <v>100009</v>
      </c>
      <c r="B11" s="6" t="s">
        <v>10</v>
      </c>
      <c r="C11" s="51" t="s">
        <v>73</v>
      </c>
      <c r="D11" s="5">
        <v>190.33631628390239</v>
      </c>
      <c r="E11" s="12">
        <v>48.726096968678995</v>
      </c>
      <c r="F11" s="13">
        <v>24.363048484339501</v>
      </c>
      <c r="G11" s="14">
        <v>19.040684791772438</v>
      </c>
      <c r="H11" s="16">
        <v>33.321198385601768</v>
      </c>
      <c r="I11" s="17">
        <v>22.4</v>
      </c>
      <c r="J11" s="20">
        <v>17.197445988945528</v>
      </c>
      <c r="K11" s="19">
        <f t="shared" si="0"/>
        <v>355.38479090324057</v>
      </c>
      <c r="L11" s="21">
        <f t="shared" si="1"/>
        <v>0.12</v>
      </c>
      <c r="M11" s="31">
        <f t="shared" si="2"/>
        <v>1.92</v>
      </c>
      <c r="N11" s="45">
        <f t="shared" si="3"/>
        <v>16</v>
      </c>
      <c r="O11" s="19">
        <f t="shared" si="4"/>
        <v>22.211549431452536</v>
      </c>
      <c r="P11" s="32">
        <f t="shared" si="5"/>
        <v>42.646174908388865</v>
      </c>
      <c r="Q11" s="219"/>
      <c r="R11" s="218"/>
    </row>
    <row r="12" spans="1:18" x14ac:dyDescent="0.25">
      <c r="A12" s="6">
        <v>100010</v>
      </c>
      <c r="B12" s="6" t="s">
        <v>11</v>
      </c>
      <c r="C12" s="51" t="s">
        <v>73</v>
      </c>
      <c r="D12" s="5">
        <v>151.60139724023122</v>
      </c>
      <c r="E12" s="12">
        <v>38.809957693499186</v>
      </c>
      <c r="F12" s="13">
        <v>19.404978846749589</v>
      </c>
      <c r="G12" s="14">
        <v>15.165757513862609</v>
      </c>
      <c r="H12" s="16">
        <v>26.540075649259567</v>
      </c>
      <c r="I12" s="17">
        <v>23</v>
      </c>
      <c r="J12" s="20">
        <v>13.697632127117359</v>
      </c>
      <c r="K12" s="19">
        <f t="shared" si="0"/>
        <v>288.21979907071955</v>
      </c>
      <c r="L12" s="21">
        <f t="shared" si="1"/>
        <v>0.12</v>
      </c>
      <c r="M12" s="31">
        <f t="shared" si="2"/>
        <v>1.92</v>
      </c>
      <c r="N12" s="45">
        <f t="shared" si="3"/>
        <v>16</v>
      </c>
      <c r="O12" s="19">
        <f t="shared" si="4"/>
        <v>18.013737441919972</v>
      </c>
      <c r="P12" s="32">
        <f t="shared" si="5"/>
        <v>34.586375888486344</v>
      </c>
      <c r="Q12" s="219"/>
      <c r="R12" s="218"/>
    </row>
    <row r="13" spans="1:18" x14ac:dyDescent="0.25">
      <c r="A13" s="6">
        <v>100011</v>
      </c>
      <c r="B13" s="6" t="s">
        <v>12</v>
      </c>
      <c r="C13" s="51" t="s">
        <v>73</v>
      </c>
      <c r="D13" s="5">
        <v>223.25830936613002</v>
      </c>
      <c r="E13" s="12">
        <v>57.154127197729281</v>
      </c>
      <c r="F13" s="13">
        <v>28.577063598864633</v>
      </c>
      <c r="G13" s="14">
        <v>22.334104067895233</v>
      </c>
      <c r="H13" s="16">
        <v>39.084682118816652</v>
      </c>
      <c r="I13" s="17">
        <v>15.75</v>
      </c>
      <c r="J13" s="20">
        <v>20.172044893316212</v>
      </c>
      <c r="K13" s="19">
        <f t="shared" si="0"/>
        <v>406.33033124275198</v>
      </c>
      <c r="L13" s="21">
        <f t="shared" si="1"/>
        <v>0.12</v>
      </c>
      <c r="M13" s="31">
        <f t="shared" si="2"/>
        <v>1.92</v>
      </c>
      <c r="N13" s="45">
        <f t="shared" si="3"/>
        <v>16</v>
      </c>
      <c r="O13" s="19">
        <f t="shared" si="4"/>
        <v>25.395645702671999</v>
      </c>
      <c r="P13" s="32">
        <f t="shared" si="5"/>
        <v>48.759639749130237</v>
      </c>
      <c r="Q13" s="219"/>
      <c r="R13" s="218"/>
    </row>
    <row r="14" spans="1:18" x14ac:dyDescent="0.25">
      <c r="A14" s="6">
        <v>100012</v>
      </c>
      <c r="B14" s="6" t="s">
        <v>13</v>
      </c>
      <c r="C14" s="51" t="s">
        <v>73</v>
      </c>
      <c r="D14" s="5">
        <v>175.16362778219721</v>
      </c>
      <c r="E14" s="12">
        <v>44.841888712242472</v>
      </c>
      <c r="F14" s="13">
        <v>22.42094435612124</v>
      </c>
      <c r="G14" s="14">
        <v>17.522853697606454</v>
      </c>
      <c r="H14" s="16">
        <v>30.664993970811292</v>
      </c>
      <c r="I14" s="17">
        <v>15.75</v>
      </c>
      <c r="J14" s="20">
        <v>15.826548957262052</v>
      </c>
      <c r="K14" s="19">
        <f t="shared" si="0"/>
        <v>322.19085747624075</v>
      </c>
      <c r="L14" s="21">
        <f t="shared" si="1"/>
        <v>0.12</v>
      </c>
      <c r="M14" s="31">
        <f t="shared" si="2"/>
        <v>1.92</v>
      </c>
      <c r="N14" s="45">
        <f t="shared" si="3"/>
        <v>16</v>
      </c>
      <c r="O14" s="19">
        <f t="shared" si="4"/>
        <v>20.136928592265047</v>
      </c>
      <c r="P14" s="32">
        <f t="shared" si="5"/>
        <v>38.662902897148889</v>
      </c>
      <c r="Q14" s="219"/>
      <c r="R14" s="218"/>
    </row>
    <row r="15" spans="1:18" x14ac:dyDescent="0.25">
      <c r="A15" s="6">
        <v>100013</v>
      </c>
      <c r="B15" s="6" t="s">
        <v>14</v>
      </c>
      <c r="C15" s="51" t="s">
        <v>73</v>
      </c>
      <c r="D15" s="5">
        <v>119.06051093711828</v>
      </c>
      <c r="E15" s="12">
        <v>30.479490799902276</v>
      </c>
      <c r="F15" s="13">
        <v>15.239745399951136</v>
      </c>
      <c r="G15" s="14">
        <v>11.910463038065922</v>
      </c>
      <c r="H15" s="16">
        <v>20.843310316615362</v>
      </c>
      <c r="I15" s="17">
        <v>33.875</v>
      </c>
      <c r="J15" s="20">
        <v>10.757467341141979</v>
      </c>
      <c r="K15" s="19">
        <f t="shared" si="0"/>
        <v>242.165987832795</v>
      </c>
      <c r="L15" s="21">
        <f t="shared" si="1"/>
        <v>0.12</v>
      </c>
      <c r="M15" s="31">
        <f t="shared" si="2"/>
        <v>1.92</v>
      </c>
      <c r="N15" s="45">
        <f t="shared" si="3"/>
        <v>16</v>
      </c>
      <c r="O15" s="19">
        <f t="shared" si="4"/>
        <v>15.135374239549687</v>
      </c>
      <c r="P15" s="32">
        <f t="shared" si="5"/>
        <v>29.059918539935399</v>
      </c>
      <c r="Q15" s="219"/>
      <c r="R15" s="218"/>
    </row>
    <row r="16" spans="1:18" x14ac:dyDescent="0.25">
      <c r="A16" s="6">
        <v>100014</v>
      </c>
      <c r="B16" s="6" t="s">
        <v>15</v>
      </c>
      <c r="C16" s="51" t="s">
        <v>73</v>
      </c>
      <c r="D16" s="5">
        <v>214.80342777079235</v>
      </c>
      <c r="E16" s="12">
        <v>54.989677509322838</v>
      </c>
      <c r="F16" s="13">
        <v>27.494838754661419</v>
      </c>
      <c r="G16" s="14">
        <v>21.488302601566247</v>
      </c>
      <c r="H16" s="16">
        <v>37.604529552740935</v>
      </c>
      <c r="I16" s="17">
        <v>18.499999999999996</v>
      </c>
      <c r="J16" s="20">
        <v>19.408121473878644</v>
      </c>
      <c r="K16" s="19">
        <f t="shared" si="0"/>
        <v>394.28889766296243</v>
      </c>
      <c r="L16" s="21">
        <f t="shared" si="1"/>
        <v>0.12</v>
      </c>
      <c r="M16" s="31">
        <f t="shared" si="2"/>
        <v>1.92</v>
      </c>
      <c r="N16" s="45">
        <f t="shared" si="3"/>
        <v>16</v>
      </c>
      <c r="O16" s="19">
        <f t="shared" si="4"/>
        <v>24.643056103935152</v>
      </c>
      <c r="P16" s="32">
        <f t="shared" si="5"/>
        <v>47.314667719555487</v>
      </c>
      <c r="Q16" s="219"/>
      <c r="R16" s="218"/>
    </row>
    <row r="17" spans="1:18" x14ac:dyDescent="0.25">
      <c r="A17" s="6">
        <v>100015</v>
      </c>
      <c r="B17" s="8" t="s">
        <v>16</v>
      </c>
      <c r="C17" s="52" t="s">
        <v>74</v>
      </c>
      <c r="D17" s="5">
        <v>355.33110045943118</v>
      </c>
      <c r="E17" s="12">
        <v>90.964761717614365</v>
      </c>
      <c r="F17" s="13">
        <v>45.482380858807183</v>
      </c>
      <c r="G17" s="14">
        <v>35.546277308792625</v>
      </c>
      <c r="H17" s="16">
        <v>62.20598529038709</v>
      </c>
      <c r="I17" s="17">
        <v>29.5</v>
      </c>
      <c r="J17" s="20">
        <v>32.105210017981541</v>
      </c>
      <c r="K17" s="19">
        <f t="shared" si="0"/>
        <v>651.1357156530139</v>
      </c>
      <c r="L17" s="21">
        <f t="shared" si="1"/>
        <v>0.12</v>
      </c>
      <c r="M17" s="31">
        <f t="shared" si="2"/>
        <v>1.92</v>
      </c>
      <c r="N17" s="45">
        <f t="shared" si="3"/>
        <v>16</v>
      </c>
      <c r="O17" s="19">
        <f t="shared" si="4"/>
        <v>40.695982228313369</v>
      </c>
      <c r="P17" s="32">
        <f t="shared" si="5"/>
        <v>78.136285878361662</v>
      </c>
      <c r="Q17" s="219"/>
      <c r="R17" s="218"/>
    </row>
    <row r="18" spans="1:18" x14ac:dyDescent="0.25">
      <c r="A18" s="6">
        <v>100016</v>
      </c>
      <c r="B18" s="8" t="s">
        <v>17</v>
      </c>
      <c r="C18" s="52" t="s">
        <v>74</v>
      </c>
      <c r="D18" s="5">
        <v>39.158233676881181</v>
      </c>
      <c r="E18" s="12">
        <v>10.024507821281583</v>
      </c>
      <c r="F18" s="13">
        <v>5.0122539106407906</v>
      </c>
      <c r="G18" s="14">
        <v>3.9172744277132026</v>
      </c>
      <c r="H18" s="16">
        <v>6.8552302484981054</v>
      </c>
      <c r="I18" s="17">
        <v>62.5</v>
      </c>
      <c r="J18" s="20">
        <v>3.5380615839817344</v>
      </c>
      <c r="K18" s="19">
        <f t="shared" si="0"/>
        <v>131.00556166899659</v>
      </c>
      <c r="L18" s="21">
        <f t="shared" si="1"/>
        <v>0.12</v>
      </c>
      <c r="M18" s="31">
        <f t="shared" si="2"/>
        <v>1.92</v>
      </c>
      <c r="N18" s="45">
        <f t="shared" si="3"/>
        <v>16</v>
      </c>
      <c r="O18" s="19">
        <f t="shared" si="4"/>
        <v>8.187847604312287</v>
      </c>
      <c r="P18" s="32">
        <f t="shared" si="5"/>
        <v>15.72066740027959</v>
      </c>
      <c r="Q18" s="219"/>
      <c r="R18" s="218"/>
    </row>
    <row r="19" spans="1:18" x14ac:dyDescent="0.25">
      <c r="A19" s="6">
        <v>100017</v>
      </c>
      <c r="B19" s="8" t="s">
        <v>18</v>
      </c>
      <c r="C19" s="52" t="s">
        <v>74</v>
      </c>
      <c r="D19" s="5">
        <v>39.314853079964863</v>
      </c>
      <c r="E19" s="12">
        <v>10.064602388471002</v>
      </c>
      <c r="F19" s="13">
        <v>5.0323011942355</v>
      </c>
      <c r="G19" s="14">
        <v>3.9329421717602386</v>
      </c>
      <c r="H19" s="16">
        <v>6.8826488005804167</v>
      </c>
      <c r="I19" s="17">
        <v>44.875</v>
      </c>
      <c r="J19" s="20">
        <v>3.5522126076956466</v>
      </c>
      <c r="K19" s="19">
        <f t="shared" si="0"/>
        <v>113.65456024270767</v>
      </c>
      <c r="L19" s="21">
        <f t="shared" si="1"/>
        <v>0.12</v>
      </c>
      <c r="M19" s="31">
        <f t="shared" si="2"/>
        <v>1.92</v>
      </c>
      <c r="N19" s="45">
        <f t="shared" si="3"/>
        <v>16</v>
      </c>
      <c r="O19" s="19">
        <f t="shared" si="4"/>
        <v>7.1034100151692297</v>
      </c>
      <c r="P19" s="32">
        <f t="shared" si="5"/>
        <v>13.638547229124921</v>
      </c>
      <c r="Q19" s="219"/>
      <c r="R19" s="218"/>
    </row>
    <row r="20" spans="1:18" x14ac:dyDescent="0.25">
      <c r="A20" s="6">
        <v>100018</v>
      </c>
      <c r="B20" s="8" t="s">
        <v>19</v>
      </c>
      <c r="C20" s="52" t="s">
        <v>74</v>
      </c>
      <c r="D20" s="5">
        <v>8.7315916555801163</v>
      </c>
      <c r="E20" s="12">
        <v>2.2352874638285085</v>
      </c>
      <c r="F20" s="13">
        <v>1.1176437319142547</v>
      </c>
      <c r="G20" s="14">
        <v>0.87348272620968248</v>
      </c>
      <c r="H20" s="16">
        <v>1.5285947708669443</v>
      </c>
      <c r="I20" s="17">
        <v>123.29999999999998</v>
      </c>
      <c r="J20" s="20">
        <v>0.7889249872335915</v>
      </c>
      <c r="K20" s="19">
        <f t="shared" si="0"/>
        <v>138.57552533563307</v>
      </c>
      <c r="L20" s="21">
        <f t="shared" si="1"/>
        <v>0.12</v>
      </c>
      <c r="M20" s="31">
        <f t="shared" si="2"/>
        <v>1.92</v>
      </c>
      <c r="N20" s="45">
        <f t="shared" si="3"/>
        <v>16</v>
      </c>
      <c r="O20" s="19">
        <f t="shared" si="4"/>
        <v>8.6609703334770671</v>
      </c>
      <c r="P20" s="32">
        <f t="shared" si="5"/>
        <v>16.62906304027597</v>
      </c>
      <c r="Q20" s="219"/>
      <c r="R20" s="218"/>
    </row>
    <row r="21" spans="1:18" x14ac:dyDescent="0.25">
      <c r="A21" s="6">
        <v>100019</v>
      </c>
      <c r="B21" s="8" t="s">
        <v>20</v>
      </c>
      <c r="C21" s="52" t="s">
        <v>74</v>
      </c>
      <c r="D21" s="5">
        <v>26.292307113163812</v>
      </c>
      <c r="E21" s="12">
        <v>6.7308306209699333</v>
      </c>
      <c r="F21" s="13">
        <v>3.3654153104849662</v>
      </c>
      <c r="G21" s="14">
        <v>2.6302050074537897</v>
      </c>
      <c r="H21" s="16">
        <v>4.6028587630441322</v>
      </c>
      <c r="I21" s="17">
        <v>155.83333333333334</v>
      </c>
      <c r="J21" s="20">
        <v>2.3755872779893878</v>
      </c>
      <c r="K21" s="19">
        <f t="shared" si="0"/>
        <v>201.83053742643938</v>
      </c>
      <c r="L21" s="21">
        <f t="shared" si="1"/>
        <v>0.12</v>
      </c>
      <c r="M21" s="31">
        <f t="shared" si="2"/>
        <v>1.92</v>
      </c>
      <c r="N21" s="45">
        <f t="shared" si="3"/>
        <v>16</v>
      </c>
      <c r="O21" s="19">
        <f t="shared" si="4"/>
        <v>12.614408589152461</v>
      </c>
      <c r="P21" s="32">
        <f t="shared" si="5"/>
        <v>24.219664491172725</v>
      </c>
      <c r="Q21" s="219"/>
      <c r="R21" s="218"/>
    </row>
    <row r="22" spans="1:18" x14ac:dyDescent="0.25">
      <c r="A22" s="6">
        <v>100020</v>
      </c>
      <c r="B22" s="8" t="s">
        <v>21</v>
      </c>
      <c r="C22" s="52" t="s">
        <v>74</v>
      </c>
      <c r="D22" s="5">
        <v>48.701283544462036</v>
      </c>
      <c r="E22" s="12">
        <v>12.467528587382278</v>
      </c>
      <c r="F22" s="13">
        <v>6.2337642936911379</v>
      </c>
      <c r="G22" s="14">
        <v>4.8719330447778662</v>
      </c>
      <c r="H22" s="16">
        <v>8.5258828283612669</v>
      </c>
      <c r="I22" s="17">
        <v>128.125</v>
      </c>
      <c r="J22" s="20">
        <v>4.4003042073113914</v>
      </c>
      <c r="K22" s="19">
        <f t="shared" si="0"/>
        <v>213.32569650598597</v>
      </c>
      <c r="L22" s="21">
        <f t="shared" si="1"/>
        <v>0.12</v>
      </c>
      <c r="M22" s="31">
        <f t="shared" si="2"/>
        <v>1.92</v>
      </c>
      <c r="N22" s="45">
        <f t="shared" si="3"/>
        <v>16</v>
      </c>
      <c r="O22" s="19">
        <f t="shared" si="4"/>
        <v>13.332856031624123</v>
      </c>
      <c r="P22" s="32">
        <f t="shared" si="5"/>
        <v>25.599083580718315</v>
      </c>
      <c r="Q22" s="219"/>
      <c r="R22" s="218"/>
    </row>
    <row r="23" spans="1:18" x14ac:dyDescent="0.25">
      <c r="A23" s="6">
        <v>100021</v>
      </c>
      <c r="B23" s="7" t="s">
        <v>22</v>
      </c>
      <c r="C23" s="53" t="s">
        <v>75</v>
      </c>
      <c r="D23" s="5">
        <v>183.8032898734516</v>
      </c>
      <c r="E23" s="12">
        <v>47.053642207603602</v>
      </c>
      <c r="F23" s="13">
        <v>23.526821103801801</v>
      </c>
      <c r="G23" s="14">
        <v>18.387140060812239</v>
      </c>
      <c r="H23" s="16">
        <v>32.177495106421418</v>
      </c>
      <c r="I23" s="17">
        <v>206.24999999999997</v>
      </c>
      <c r="J23" s="20">
        <v>16.607167837977741</v>
      </c>
      <c r="K23" s="19">
        <f t="shared" si="0"/>
        <v>527.80555619006839</v>
      </c>
      <c r="L23" s="21">
        <f t="shared" si="1"/>
        <v>0.12</v>
      </c>
      <c r="M23" s="31">
        <f t="shared" si="2"/>
        <v>1.92</v>
      </c>
      <c r="N23" s="45">
        <f t="shared" si="3"/>
        <v>16</v>
      </c>
      <c r="O23" s="19">
        <f t="shared" si="4"/>
        <v>32.987847261879274</v>
      </c>
      <c r="P23" s="32">
        <f t="shared" si="5"/>
        <v>63.336666742808205</v>
      </c>
      <c r="Q23" s="219"/>
      <c r="R23" s="218"/>
    </row>
    <row r="24" spans="1:18" x14ac:dyDescent="0.25">
      <c r="A24" s="6">
        <v>100022</v>
      </c>
      <c r="B24" s="7" t="s">
        <v>23</v>
      </c>
      <c r="C24" s="53" t="s">
        <v>75</v>
      </c>
      <c r="D24" s="5">
        <v>242.62034263295618</v>
      </c>
      <c r="E24" s="12">
        <v>62.110807714036767</v>
      </c>
      <c r="F24" s="13">
        <v>31.055403857018376</v>
      </c>
      <c r="G24" s="14">
        <v>24.271024880272165</v>
      </c>
      <c r="H24" s="16">
        <v>42.474293540476289</v>
      </c>
      <c r="I24" s="17">
        <v>187.49999999999997</v>
      </c>
      <c r="J24" s="20">
        <v>21.921461546130619</v>
      </c>
      <c r="K24" s="19">
        <f t="shared" si="0"/>
        <v>611.95333417089046</v>
      </c>
      <c r="L24" s="21">
        <f t="shared" si="1"/>
        <v>0.12</v>
      </c>
      <c r="M24" s="31">
        <f t="shared" si="2"/>
        <v>1.92</v>
      </c>
      <c r="N24" s="45">
        <f t="shared" si="3"/>
        <v>16</v>
      </c>
      <c r="O24" s="19">
        <f t="shared" si="4"/>
        <v>38.247083385680654</v>
      </c>
      <c r="P24" s="32">
        <f t="shared" si="5"/>
        <v>73.434400100506849</v>
      </c>
      <c r="Q24" s="219"/>
      <c r="R24" s="218"/>
    </row>
    <row r="25" spans="1:18" x14ac:dyDescent="0.25">
      <c r="A25" s="6">
        <v>100023</v>
      </c>
      <c r="B25" s="7" t="s">
        <v>24</v>
      </c>
      <c r="C25" s="53" t="s">
        <v>75</v>
      </c>
      <c r="D25" s="5">
        <v>255.38983435048019</v>
      </c>
      <c r="E25" s="12">
        <v>65.379797593722898</v>
      </c>
      <c r="F25" s="13">
        <v>32.689898796861456</v>
      </c>
      <c r="G25" s="14">
        <v>25.548447242391752</v>
      </c>
      <c r="H25" s="16">
        <v>44.709782674185561</v>
      </c>
      <c r="I25" s="17">
        <v>237.5</v>
      </c>
      <c r="J25" s="20">
        <v>23.075222680137497</v>
      </c>
      <c r="K25" s="19">
        <f t="shared" si="0"/>
        <v>684.29298333777933</v>
      </c>
      <c r="L25" s="21">
        <f t="shared" si="1"/>
        <v>0.12</v>
      </c>
      <c r="M25" s="31">
        <f t="shared" si="2"/>
        <v>1.92</v>
      </c>
      <c r="N25" s="45">
        <f t="shared" si="3"/>
        <v>16</v>
      </c>
      <c r="O25" s="19">
        <f t="shared" si="4"/>
        <v>42.768311458611208</v>
      </c>
      <c r="P25" s="32">
        <f t="shared" si="5"/>
        <v>82.115158000533512</v>
      </c>
      <c r="Q25" s="219"/>
      <c r="R25" s="218"/>
    </row>
    <row r="26" spans="1:18" x14ac:dyDescent="0.25">
      <c r="A26" s="6">
        <v>100024</v>
      </c>
      <c r="B26" s="9" t="s">
        <v>25</v>
      </c>
      <c r="C26" s="53" t="s">
        <v>75</v>
      </c>
      <c r="D26" s="5">
        <v>632.92263295553778</v>
      </c>
      <c r="E26" s="12">
        <v>162.02819403661763</v>
      </c>
      <c r="F26" s="13">
        <v>81.014097018308817</v>
      </c>
      <c r="G26" s="14">
        <v>63.315717078970863</v>
      </c>
      <c r="H26" s="16">
        <v>110.80250488819901</v>
      </c>
      <c r="I26" s="17">
        <v>143.75</v>
      </c>
      <c r="J26" s="20">
        <v>57.186421424688575</v>
      </c>
      <c r="K26" s="19">
        <f t="shared" si="0"/>
        <v>1251.0195674023228</v>
      </c>
      <c r="L26" s="21">
        <f t="shared" si="1"/>
        <v>0.12</v>
      </c>
      <c r="M26" s="31">
        <f t="shared" si="2"/>
        <v>1.92</v>
      </c>
      <c r="N26" s="45">
        <f t="shared" si="3"/>
        <v>16</v>
      </c>
      <c r="O26" s="19">
        <f t="shared" si="4"/>
        <v>78.188722962645173</v>
      </c>
      <c r="P26" s="32">
        <f t="shared" si="5"/>
        <v>150.12234808827873</v>
      </c>
      <c r="Q26" s="219"/>
      <c r="R26" s="218"/>
    </row>
    <row r="27" spans="1:18" x14ac:dyDescent="0.25">
      <c r="A27" s="6">
        <v>100025</v>
      </c>
      <c r="B27" s="9" t="s">
        <v>26</v>
      </c>
      <c r="C27" s="53" t="s">
        <v>75</v>
      </c>
      <c r="D27" s="5">
        <v>186.6310327945817</v>
      </c>
      <c r="E27" s="12">
        <v>47.777544395412896</v>
      </c>
      <c r="F27" s="13">
        <v>23.888772197706444</v>
      </c>
      <c r="G27" s="14">
        <v>18.670019138670895</v>
      </c>
      <c r="H27" s="16">
        <v>32.672533492674063</v>
      </c>
      <c r="I27" s="17">
        <v>243.74999999999997</v>
      </c>
      <c r="J27" s="20">
        <v>16.862662727792785</v>
      </c>
      <c r="K27" s="19">
        <f t="shared" si="0"/>
        <v>570.25256474683874</v>
      </c>
      <c r="L27" s="21">
        <f t="shared" si="1"/>
        <v>0.12</v>
      </c>
      <c r="M27" s="31">
        <f t="shared" si="2"/>
        <v>1.92</v>
      </c>
      <c r="N27" s="45">
        <f t="shared" si="3"/>
        <v>16</v>
      </c>
      <c r="O27" s="19">
        <f t="shared" si="4"/>
        <v>35.640785296677421</v>
      </c>
      <c r="P27" s="32">
        <f t="shared" si="5"/>
        <v>68.43030776962064</v>
      </c>
      <c r="Q27" s="219"/>
      <c r="R27" s="218"/>
    </row>
    <row r="28" spans="1:18" x14ac:dyDescent="0.25">
      <c r="A28" s="6">
        <v>100026</v>
      </c>
      <c r="B28" s="9" t="s">
        <v>27</v>
      </c>
      <c r="C28" s="53" t="s">
        <v>75</v>
      </c>
      <c r="D28" s="5">
        <v>525.6774090380718</v>
      </c>
      <c r="E28" s="12">
        <v>134.57341671374633</v>
      </c>
      <c r="F28" s="13">
        <v>67.286708356873149</v>
      </c>
      <c r="G28" s="14">
        <v>52.587220573923005</v>
      </c>
      <c r="H28" s="16">
        <v>92.027636004365263</v>
      </c>
      <c r="I28" s="17">
        <v>187.5</v>
      </c>
      <c r="J28" s="20">
        <v>47.496500016616345</v>
      </c>
      <c r="K28" s="19">
        <f t="shared" si="0"/>
        <v>1107.1488907035962</v>
      </c>
      <c r="L28" s="21">
        <f t="shared" si="1"/>
        <v>0.12</v>
      </c>
      <c r="M28" s="31">
        <f t="shared" si="2"/>
        <v>1.92</v>
      </c>
      <c r="N28" s="45">
        <f t="shared" si="3"/>
        <v>16</v>
      </c>
      <c r="O28" s="19">
        <f t="shared" si="4"/>
        <v>69.196805668974761</v>
      </c>
      <c r="P28" s="32">
        <f t="shared" si="5"/>
        <v>132.85786688443153</v>
      </c>
      <c r="Q28" s="219"/>
      <c r="R28" s="218"/>
    </row>
    <row r="29" spans="1:18" x14ac:dyDescent="0.25">
      <c r="A29" s="6">
        <v>100027</v>
      </c>
      <c r="B29" s="9" t="s">
        <v>28</v>
      </c>
      <c r="C29" s="53" t="s">
        <v>75</v>
      </c>
      <c r="D29" s="5">
        <v>147.93923331277816</v>
      </c>
      <c r="E29" s="12">
        <v>37.87244372807119</v>
      </c>
      <c r="F29" s="13">
        <v>18.936221864035598</v>
      </c>
      <c r="G29" s="14">
        <v>14.799405414800095</v>
      </c>
      <c r="H29" s="16">
        <v>25.898959475900167</v>
      </c>
      <c r="I29" s="17">
        <v>256.25</v>
      </c>
      <c r="J29" s="20">
        <v>13.366744845201598</v>
      </c>
      <c r="K29" s="19">
        <f t="shared" si="0"/>
        <v>515.06300864078685</v>
      </c>
      <c r="L29" s="21">
        <f t="shared" si="1"/>
        <v>0.12</v>
      </c>
      <c r="M29" s="31">
        <f t="shared" si="2"/>
        <v>1.92</v>
      </c>
      <c r="N29" s="45">
        <f t="shared" si="3"/>
        <v>16</v>
      </c>
      <c r="O29" s="19">
        <f t="shared" si="4"/>
        <v>32.191438040049178</v>
      </c>
      <c r="P29" s="32">
        <f t="shared" si="5"/>
        <v>61.80756103689442</v>
      </c>
      <c r="Q29" s="219"/>
      <c r="R29" s="218"/>
    </row>
    <row r="30" spans="1:18" x14ac:dyDescent="0.25">
      <c r="A30" s="6">
        <v>100028</v>
      </c>
      <c r="B30" s="9" t="s">
        <v>29</v>
      </c>
      <c r="C30" s="54" t="s">
        <v>76</v>
      </c>
      <c r="D30" s="5">
        <v>51.621349496373647</v>
      </c>
      <c r="E30" s="12">
        <v>13.21506547107165</v>
      </c>
      <c r="F30" s="13">
        <v>6.6075327355358251</v>
      </c>
      <c r="G30" s="14">
        <v>5.164047846866417</v>
      </c>
      <c r="H30" s="16">
        <v>9.0370837320162298</v>
      </c>
      <c r="I30" s="17">
        <v>29.375</v>
      </c>
      <c r="J30" s="20">
        <v>4.6641407544958771</v>
      </c>
      <c r="K30" s="19">
        <f t="shared" si="0"/>
        <v>119.68422003635965</v>
      </c>
      <c r="L30" s="21">
        <f t="shared" si="1"/>
        <v>0.12</v>
      </c>
      <c r="M30" s="31">
        <f t="shared" si="2"/>
        <v>1.92</v>
      </c>
      <c r="N30" s="45">
        <f t="shared" si="3"/>
        <v>16</v>
      </c>
      <c r="O30" s="19">
        <f t="shared" si="4"/>
        <v>7.480263752272478</v>
      </c>
      <c r="P30" s="32">
        <f t="shared" si="5"/>
        <v>14.362106404363157</v>
      </c>
      <c r="Q30" s="219"/>
      <c r="R30" s="218"/>
    </row>
    <row r="31" spans="1:18" x14ac:dyDescent="0.25">
      <c r="A31" s="6">
        <v>100029</v>
      </c>
      <c r="B31" s="9" t="s">
        <v>30</v>
      </c>
      <c r="C31" s="54" t="s">
        <v>76</v>
      </c>
      <c r="D31" s="5">
        <v>161.74689508863744</v>
      </c>
      <c r="E31" s="12">
        <v>41.407205142691168</v>
      </c>
      <c r="F31" s="13">
        <v>20.703602571345588</v>
      </c>
      <c r="G31" s="14">
        <v>16.180683253514776</v>
      </c>
      <c r="H31" s="16">
        <v>28.316195693650855</v>
      </c>
      <c r="I31" s="17">
        <v>187.5</v>
      </c>
      <c r="J31" s="20">
        <v>14.614307697420415</v>
      </c>
      <c r="K31" s="19">
        <f t="shared" si="0"/>
        <v>470.46888944726027</v>
      </c>
      <c r="L31" s="21">
        <f t="shared" si="1"/>
        <v>0.12</v>
      </c>
      <c r="M31" s="31">
        <f t="shared" si="2"/>
        <v>1.92</v>
      </c>
      <c r="N31" s="45">
        <f t="shared" si="3"/>
        <v>16</v>
      </c>
      <c r="O31" s="19">
        <f t="shared" si="4"/>
        <v>29.404305590453767</v>
      </c>
      <c r="P31" s="32">
        <f t="shared" si="5"/>
        <v>56.456266733671228</v>
      </c>
      <c r="Q31" s="219"/>
      <c r="R31" s="218"/>
    </row>
    <row r="32" spans="1:18" x14ac:dyDescent="0.25">
      <c r="A32" s="6">
        <v>100030</v>
      </c>
      <c r="B32" s="9" t="s">
        <v>31</v>
      </c>
      <c r="C32" s="54" t="s">
        <v>76</v>
      </c>
      <c r="D32" s="5">
        <v>79.115329119442222</v>
      </c>
      <c r="E32" s="12">
        <v>20.253524254577204</v>
      </c>
      <c r="F32" s="13">
        <v>10.126762127288602</v>
      </c>
      <c r="G32" s="14">
        <v>7.9144646348713579</v>
      </c>
      <c r="H32" s="16">
        <v>13.850313111024876</v>
      </c>
      <c r="I32" s="17">
        <v>71.875</v>
      </c>
      <c r="J32" s="20">
        <v>7.1483026780860719</v>
      </c>
      <c r="K32" s="19">
        <f t="shared" si="0"/>
        <v>210.28369592529035</v>
      </c>
      <c r="L32" s="21">
        <f t="shared" si="1"/>
        <v>0.12</v>
      </c>
      <c r="M32" s="31">
        <f t="shared" si="2"/>
        <v>1.92</v>
      </c>
      <c r="N32" s="45">
        <f t="shared" si="3"/>
        <v>16</v>
      </c>
      <c r="O32" s="19">
        <f t="shared" si="4"/>
        <v>13.142730995330647</v>
      </c>
      <c r="P32" s="32">
        <f t="shared" si="5"/>
        <v>25.234043511034841</v>
      </c>
      <c r="Q32" s="219"/>
      <c r="R32" s="218"/>
    </row>
    <row r="33" spans="1:18" x14ac:dyDescent="0.25">
      <c r="A33" s="6">
        <v>100031</v>
      </c>
      <c r="B33" s="9" t="s">
        <v>32</v>
      </c>
      <c r="C33" s="54" t="s">
        <v>76</v>
      </c>
      <c r="D33" s="5">
        <v>90.417518993648258</v>
      </c>
      <c r="E33" s="12">
        <v>23.146884862373948</v>
      </c>
      <c r="F33" s="13">
        <v>11.573442431186974</v>
      </c>
      <c r="G33" s="14">
        <v>9.0451024398529807</v>
      </c>
      <c r="H33" s="16">
        <v>15.828929269742716</v>
      </c>
      <c r="I33" s="17">
        <v>82.142857142857139</v>
      </c>
      <c r="J33" s="20">
        <v>8.1694887749555107</v>
      </c>
      <c r="K33" s="19">
        <f t="shared" si="0"/>
        <v>240.32422391461751</v>
      </c>
      <c r="L33" s="21">
        <f t="shared" si="1"/>
        <v>0.12</v>
      </c>
      <c r="M33" s="31">
        <f t="shared" si="2"/>
        <v>1.92</v>
      </c>
      <c r="N33" s="45">
        <f t="shared" si="3"/>
        <v>16</v>
      </c>
      <c r="O33" s="19">
        <f t="shared" si="4"/>
        <v>15.020263994663594</v>
      </c>
      <c r="P33" s="32">
        <f t="shared" si="5"/>
        <v>28.838906869754098</v>
      </c>
      <c r="Q33" s="219"/>
      <c r="R33" s="218"/>
    </row>
    <row r="34" spans="1:18" x14ac:dyDescent="0.25">
      <c r="A34" s="6">
        <v>100032</v>
      </c>
      <c r="B34" s="9" t="s">
        <v>33</v>
      </c>
      <c r="C34" s="54" t="s">
        <v>76</v>
      </c>
      <c r="D34" s="5">
        <v>255.38983435048019</v>
      </c>
      <c r="E34" s="12">
        <v>65.379797593722898</v>
      </c>
      <c r="F34" s="13">
        <v>32.689898796861456</v>
      </c>
      <c r="G34" s="14">
        <v>25.548447242391752</v>
      </c>
      <c r="H34" s="16">
        <v>44.709782674185561</v>
      </c>
      <c r="I34" s="17">
        <v>475</v>
      </c>
      <c r="J34" s="20">
        <v>23.075222680137497</v>
      </c>
      <c r="K34" s="19">
        <f t="shared" si="0"/>
        <v>921.79298333777933</v>
      </c>
      <c r="L34" s="21">
        <f t="shared" si="1"/>
        <v>0.12</v>
      </c>
      <c r="M34" s="31">
        <f t="shared" si="2"/>
        <v>1.92</v>
      </c>
      <c r="N34" s="45">
        <f t="shared" si="3"/>
        <v>16</v>
      </c>
      <c r="O34" s="19">
        <f t="shared" si="4"/>
        <v>57.612061458611208</v>
      </c>
      <c r="P34" s="32">
        <f t="shared" si="5"/>
        <v>110.61515800053351</v>
      </c>
      <c r="Q34" s="219"/>
      <c r="R34" s="218"/>
    </row>
    <row r="35" spans="1:18" s="30" customFormat="1" x14ac:dyDescent="0.25">
      <c r="A35" s="23">
        <v>100033</v>
      </c>
      <c r="B35" s="24" t="s">
        <v>34</v>
      </c>
      <c r="C35" s="54" t="s">
        <v>77</v>
      </c>
      <c r="D35" s="25">
        <v>726.92505535543035</v>
      </c>
      <c r="E35" s="25">
        <v>186.0928141709901</v>
      </c>
      <c r="F35" s="25">
        <v>93.046407085495048</v>
      </c>
      <c r="G35" s="25">
        <v>72.719442702774884</v>
      </c>
      <c r="H35" s="25">
        <v>127.25902472985604</v>
      </c>
      <c r="I35" s="25">
        <v>23.875</v>
      </c>
      <c r="J35" s="25">
        <v>65.679816766231795</v>
      </c>
      <c r="K35" s="26">
        <f t="shared" si="0"/>
        <v>1295.5975608107783</v>
      </c>
      <c r="L35" s="27">
        <f t="shared" si="1"/>
        <v>0.12</v>
      </c>
      <c r="M35" s="46">
        <f t="shared" si="2"/>
        <v>1.92</v>
      </c>
      <c r="N35" s="47">
        <f t="shared" si="3"/>
        <v>16</v>
      </c>
      <c r="O35" s="26">
        <f t="shared" si="4"/>
        <v>80.974847550673644</v>
      </c>
      <c r="P35" s="48">
        <f t="shared" si="5"/>
        <v>155.47170729729339</v>
      </c>
      <c r="Q35" s="219"/>
      <c r="R35" s="218"/>
    </row>
    <row r="36" spans="1:18" s="30" customFormat="1" x14ac:dyDescent="0.25">
      <c r="A36" s="23">
        <v>100034</v>
      </c>
      <c r="B36" s="29" t="s">
        <v>35</v>
      </c>
      <c r="C36" s="54" t="s">
        <v>77</v>
      </c>
      <c r="D36" s="25">
        <v>596.94629613693121</v>
      </c>
      <c r="E36" s="25">
        <v>152.81825181105435</v>
      </c>
      <c r="F36" s="25">
        <v>76.409125905527176</v>
      </c>
      <c r="G36" s="25">
        <v>59.716750246472273</v>
      </c>
      <c r="H36" s="25">
        <v>104.50431293132647</v>
      </c>
      <c r="I36" s="25">
        <v>27.125</v>
      </c>
      <c r="J36" s="25">
        <v>53.935853580372125</v>
      </c>
      <c r="K36" s="26">
        <f t="shared" si="0"/>
        <v>1071.4555906116836</v>
      </c>
      <c r="L36" s="27">
        <f t="shared" si="1"/>
        <v>0.12</v>
      </c>
      <c r="M36" s="46">
        <f t="shared" si="2"/>
        <v>1.92</v>
      </c>
      <c r="N36" s="47">
        <f t="shared" si="3"/>
        <v>16</v>
      </c>
      <c r="O36" s="26">
        <f t="shared" si="4"/>
        <v>66.965974413230228</v>
      </c>
      <c r="P36" s="48">
        <f t="shared" si="5"/>
        <v>128.57467087340203</v>
      </c>
      <c r="Q36" s="219"/>
      <c r="R36" s="218"/>
    </row>
    <row r="37" spans="1:18" s="30" customFormat="1" x14ac:dyDescent="0.25">
      <c r="A37" s="23">
        <v>100035</v>
      </c>
      <c r="B37" s="29" t="s">
        <v>36</v>
      </c>
      <c r="C37" s="54" t="s">
        <v>77</v>
      </c>
      <c r="D37" s="25">
        <v>689.73428223920246</v>
      </c>
      <c r="E37" s="25">
        <v>176.57197625323579</v>
      </c>
      <c r="F37" s="25">
        <v>88.285988126617895</v>
      </c>
      <c r="G37" s="25">
        <v>68.998987237974518</v>
      </c>
      <c r="H37" s="25">
        <v>120.74822766645541</v>
      </c>
      <c r="I37" s="25">
        <v>23.194444444444443</v>
      </c>
      <c r="J37" s="25">
        <v>62.319521030553815</v>
      </c>
      <c r="K37" s="26">
        <f t="shared" si="0"/>
        <v>1229.8534269984843</v>
      </c>
      <c r="L37" s="27">
        <f t="shared" si="1"/>
        <v>0.12</v>
      </c>
      <c r="M37" s="46">
        <f t="shared" si="2"/>
        <v>1.92</v>
      </c>
      <c r="N37" s="47">
        <f t="shared" si="3"/>
        <v>16</v>
      </c>
      <c r="O37" s="26">
        <f t="shared" si="4"/>
        <v>76.865839187405271</v>
      </c>
      <c r="P37" s="48">
        <f t="shared" si="5"/>
        <v>147.58241123981813</v>
      </c>
      <c r="Q37" s="219"/>
      <c r="R37" s="218"/>
    </row>
    <row r="38" spans="1:18" s="30" customFormat="1" x14ac:dyDescent="0.25">
      <c r="A38" s="23">
        <v>100036</v>
      </c>
      <c r="B38" s="29" t="s">
        <v>37</v>
      </c>
      <c r="C38" s="54" t="s">
        <v>77</v>
      </c>
      <c r="D38" s="25">
        <v>502.00448233875085</v>
      </c>
      <c r="E38" s="25">
        <v>128.51314747872019</v>
      </c>
      <c r="F38" s="25">
        <v>64.256573739360093</v>
      </c>
      <c r="G38" s="25">
        <v>50.219050672451502</v>
      </c>
      <c r="H38" s="25">
        <v>87.883338676790117</v>
      </c>
      <c r="I38" s="25">
        <v>12.750000000000002</v>
      </c>
      <c r="J38" s="25">
        <v>45.357581463077707</v>
      </c>
      <c r="K38" s="26">
        <f t="shared" si="0"/>
        <v>890.98417436915054</v>
      </c>
      <c r="L38" s="27">
        <f t="shared" si="1"/>
        <v>0.12</v>
      </c>
      <c r="M38" s="46">
        <f t="shared" si="2"/>
        <v>1.92</v>
      </c>
      <c r="N38" s="47">
        <f t="shared" si="3"/>
        <v>16</v>
      </c>
      <c r="O38" s="26">
        <f t="shared" si="4"/>
        <v>55.686510898071909</v>
      </c>
      <c r="P38" s="48">
        <f t="shared" si="5"/>
        <v>106.91810092429806</v>
      </c>
      <c r="Q38" s="219"/>
      <c r="R38" s="218"/>
    </row>
    <row r="39" spans="1:18" s="30" customFormat="1" x14ac:dyDescent="0.25">
      <c r="A39" s="23">
        <v>100037</v>
      </c>
      <c r="B39" s="29" t="s">
        <v>38</v>
      </c>
      <c r="C39" s="54" t="s">
        <v>77</v>
      </c>
      <c r="D39" s="25">
        <v>660.16391978604202</v>
      </c>
      <c r="E39" s="25">
        <v>169.00196346522671</v>
      </c>
      <c r="F39" s="25">
        <v>84.500981732613354</v>
      </c>
      <c r="G39" s="25">
        <v>66.040855223854464</v>
      </c>
      <c r="H39" s="25">
        <v>115.57149664174533</v>
      </c>
      <c r="I39" s="25">
        <v>29.791666666666668</v>
      </c>
      <c r="J39" s="25">
        <v>59.647751811256484</v>
      </c>
      <c r="K39" s="26">
        <f t="shared" si="0"/>
        <v>1184.7186353274051</v>
      </c>
      <c r="L39" s="27">
        <f t="shared" si="1"/>
        <v>0.12</v>
      </c>
      <c r="M39" s="46">
        <f t="shared" si="2"/>
        <v>1.92</v>
      </c>
      <c r="N39" s="47">
        <f t="shared" si="3"/>
        <v>16</v>
      </c>
      <c r="O39" s="26">
        <f t="shared" si="4"/>
        <v>74.044914707962818</v>
      </c>
      <c r="P39" s="48">
        <f t="shared" si="5"/>
        <v>142.16623623928859</v>
      </c>
      <c r="Q39" s="219"/>
      <c r="R39" s="218"/>
    </row>
    <row r="40" spans="1:18" s="30" customFormat="1" x14ac:dyDescent="0.25">
      <c r="A40" s="23">
        <v>100038</v>
      </c>
      <c r="B40" s="29" t="s">
        <v>39</v>
      </c>
      <c r="C40" s="54" t="s">
        <v>77</v>
      </c>
      <c r="D40" s="25">
        <v>29.645897378050751</v>
      </c>
      <c r="E40" s="25">
        <v>7.5893497287809888</v>
      </c>
      <c r="F40" s="25">
        <v>3.7946748643904953</v>
      </c>
      <c r="G40" s="25">
        <v>2.9656883056554029</v>
      </c>
      <c r="H40" s="25">
        <v>5.1899545348969545</v>
      </c>
      <c r="I40" s="25">
        <v>138.125</v>
      </c>
      <c r="J40" s="25">
        <v>2.6785940219227022</v>
      </c>
      <c r="K40" s="26">
        <f t="shared" si="0"/>
        <v>189.9891588336973</v>
      </c>
      <c r="L40" s="27">
        <f t="shared" si="1"/>
        <v>0.12</v>
      </c>
      <c r="M40" s="46">
        <f t="shared" si="2"/>
        <v>1.92</v>
      </c>
      <c r="N40" s="47">
        <f t="shared" si="3"/>
        <v>16</v>
      </c>
      <c r="O40" s="26">
        <f t="shared" si="4"/>
        <v>11.874322427106081</v>
      </c>
      <c r="P40" s="48">
        <f t="shared" si="5"/>
        <v>22.798699060043674</v>
      </c>
      <c r="Q40" s="219"/>
      <c r="R40" s="218"/>
    </row>
    <row r="41" spans="1:18" s="30" customFormat="1" x14ac:dyDescent="0.25">
      <c r="A41" s="23">
        <v>100039</v>
      </c>
      <c r="B41" s="29" t="s">
        <v>40</v>
      </c>
      <c r="C41" s="54" t="s">
        <v>77</v>
      </c>
      <c r="D41" s="25">
        <v>38.444728651710726</v>
      </c>
      <c r="E41" s="25">
        <v>9.8418505348379401</v>
      </c>
      <c r="F41" s="25">
        <v>4.9209252674189701</v>
      </c>
      <c r="G41" s="25">
        <v>3.8458974853258519</v>
      </c>
      <c r="H41" s="25">
        <v>6.7303205993202413</v>
      </c>
      <c r="I41" s="25">
        <v>14.791666666666666</v>
      </c>
      <c r="J41" s="25">
        <v>3.473594306413391</v>
      </c>
      <c r="K41" s="26">
        <f t="shared" si="0"/>
        <v>82.048983511693791</v>
      </c>
      <c r="L41" s="27">
        <f t="shared" si="1"/>
        <v>0.12</v>
      </c>
      <c r="M41" s="46">
        <f t="shared" si="2"/>
        <v>1.92</v>
      </c>
      <c r="N41" s="47">
        <f t="shared" si="3"/>
        <v>16</v>
      </c>
      <c r="O41" s="26">
        <f t="shared" si="4"/>
        <v>5.1280614694808619</v>
      </c>
      <c r="P41" s="48">
        <f t="shared" si="5"/>
        <v>9.8458780214032551</v>
      </c>
      <c r="Q41" s="219"/>
      <c r="R41" s="218"/>
    </row>
    <row r="42" spans="1:18" x14ac:dyDescent="0.25">
      <c r="A42" s="6">
        <v>100040</v>
      </c>
      <c r="B42" s="10" t="s">
        <v>41</v>
      </c>
      <c r="C42" s="54" t="s">
        <v>77</v>
      </c>
      <c r="D42" s="5">
        <v>12.441209367952663</v>
      </c>
      <c r="E42" s="12">
        <v>3.18494959819588</v>
      </c>
      <c r="F42" s="13">
        <v>1.59247479909794</v>
      </c>
      <c r="G42" s="14">
        <v>1.2445819622267631</v>
      </c>
      <c r="H42" s="16">
        <v>2.1780184338968356</v>
      </c>
      <c r="I42" s="17">
        <v>9.5000000000000018</v>
      </c>
      <c r="J42" s="20">
        <v>1.1240998581867814</v>
      </c>
      <c r="K42" s="19">
        <f t="shared" si="0"/>
        <v>31.265334019556867</v>
      </c>
      <c r="L42" s="21">
        <f t="shared" si="1"/>
        <v>0.12</v>
      </c>
      <c r="M42" s="31">
        <f t="shared" si="2"/>
        <v>1.92</v>
      </c>
      <c r="N42" s="45">
        <f t="shared" si="3"/>
        <v>16</v>
      </c>
      <c r="O42" s="19">
        <f t="shared" si="4"/>
        <v>1.9540833762223042</v>
      </c>
      <c r="P42" s="32">
        <f t="shared" si="5"/>
        <v>3.7518400823468241</v>
      </c>
      <c r="Q42" s="219"/>
      <c r="R42" s="218"/>
    </row>
    <row r="43" spans="1:18" x14ac:dyDescent="0.25">
      <c r="A43" s="6">
        <v>100041</v>
      </c>
      <c r="B43" s="10" t="s">
        <v>42</v>
      </c>
      <c r="C43" s="55" t="s">
        <v>78</v>
      </c>
      <c r="D43" s="5">
        <v>35.339579773592298</v>
      </c>
      <c r="E43" s="12">
        <v>9.0469324220396246</v>
      </c>
      <c r="F43" s="13">
        <v>4.5234662110198123</v>
      </c>
      <c r="G43" s="14">
        <v>3.535267532124541</v>
      </c>
      <c r="H43" s="16">
        <v>6.1867181812179464</v>
      </c>
      <c r="I43" s="17">
        <v>19.545454545454543</v>
      </c>
      <c r="J43" s="20">
        <v>3.1930349724845737</v>
      </c>
      <c r="K43" s="19">
        <f t="shared" si="0"/>
        <v>81.370453637933338</v>
      </c>
      <c r="L43" s="21">
        <f t="shared" si="1"/>
        <v>0.12</v>
      </c>
      <c r="M43" s="31">
        <f t="shared" si="2"/>
        <v>1.92</v>
      </c>
      <c r="N43" s="45">
        <f t="shared" si="3"/>
        <v>16</v>
      </c>
      <c r="O43" s="19">
        <f t="shared" si="4"/>
        <v>5.0856533523708336</v>
      </c>
      <c r="P43" s="32">
        <f t="shared" si="5"/>
        <v>9.7644544365520005</v>
      </c>
      <c r="Q43" s="219"/>
      <c r="R43" s="218"/>
    </row>
    <row r="44" spans="1:18" x14ac:dyDescent="0.25">
      <c r="A44" s="6">
        <v>100042</v>
      </c>
      <c r="B44" s="10" t="s">
        <v>42</v>
      </c>
      <c r="C44" s="55" t="s">
        <v>78</v>
      </c>
      <c r="D44" s="5">
        <v>63.480066666545582</v>
      </c>
      <c r="E44" s="12">
        <v>16.250897066635666</v>
      </c>
      <c r="F44" s="13">
        <v>8.1254485333178312</v>
      </c>
      <c r="G44" s="14">
        <v>6.350359004298018</v>
      </c>
      <c r="H44" s="16">
        <v>11.113128257521531</v>
      </c>
      <c r="I44" s="17">
        <v>10.729166666666666</v>
      </c>
      <c r="J44" s="20">
        <v>5.7356107294008227</v>
      </c>
      <c r="K44" s="19">
        <f t="shared" si="0"/>
        <v>121.78467692438613</v>
      </c>
      <c r="L44" s="21">
        <f t="shared" si="1"/>
        <v>0.12</v>
      </c>
      <c r="M44" s="31">
        <f t="shared" si="2"/>
        <v>1.92</v>
      </c>
      <c r="N44" s="45">
        <f t="shared" si="3"/>
        <v>16</v>
      </c>
      <c r="O44" s="19">
        <f t="shared" si="4"/>
        <v>7.6115423077741333</v>
      </c>
      <c r="P44" s="32">
        <f t="shared" si="5"/>
        <v>14.614161230926335</v>
      </c>
      <c r="Q44" s="219"/>
      <c r="R44" s="218"/>
    </row>
    <row r="45" spans="1:18" x14ac:dyDescent="0.25">
      <c r="A45" s="6">
        <v>100043</v>
      </c>
      <c r="B45" s="10" t="s">
        <v>43</v>
      </c>
      <c r="C45" s="55" t="s">
        <v>78</v>
      </c>
      <c r="D45" s="5">
        <v>23.957594158051339</v>
      </c>
      <c r="E45" s="12">
        <v>6.1331441044611417</v>
      </c>
      <c r="F45" s="13">
        <v>3.0665720522305704</v>
      </c>
      <c r="G45" s="14">
        <v>2.3966471960729265</v>
      </c>
      <c r="H45" s="16">
        <v>4.1941325931276214</v>
      </c>
      <c r="I45" s="17">
        <v>14.635416666666666</v>
      </c>
      <c r="J45" s="20">
        <v>2.1646390956921673</v>
      </c>
      <c r="K45" s="19">
        <f t="shared" si="0"/>
        <v>56.548145866302427</v>
      </c>
      <c r="L45" s="21">
        <f t="shared" si="1"/>
        <v>0.12</v>
      </c>
      <c r="M45" s="31">
        <f t="shared" si="2"/>
        <v>1.92</v>
      </c>
      <c r="N45" s="45">
        <f t="shared" si="3"/>
        <v>16</v>
      </c>
      <c r="O45" s="19">
        <f t="shared" si="4"/>
        <v>3.5342591166439017</v>
      </c>
      <c r="P45" s="32">
        <f t="shared" si="5"/>
        <v>6.7857775039562913</v>
      </c>
      <c r="Q45" s="219"/>
      <c r="R45" s="218"/>
    </row>
    <row r="46" spans="1:18" x14ac:dyDescent="0.25">
      <c r="A46" s="6">
        <v>100044</v>
      </c>
      <c r="B46" s="10" t="s">
        <v>44</v>
      </c>
      <c r="C46" s="55" t="s">
        <v>78</v>
      </c>
      <c r="D46" s="5">
        <v>26.571284202182898</v>
      </c>
      <c r="E46" s="12">
        <v>6.8022487557588205</v>
      </c>
      <c r="F46" s="13">
        <v>3.4011243778794107</v>
      </c>
      <c r="G46" s="14">
        <v>2.6581130542198919</v>
      </c>
      <c r="H46" s="16">
        <v>4.6516978448848105</v>
      </c>
      <c r="I46" s="17">
        <v>43.125</v>
      </c>
      <c r="J46" s="20">
        <v>2.4007936785031134</v>
      </c>
      <c r="K46" s="19">
        <f t="shared" si="0"/>
        <v>89.610261913428928</v>
      </c>
      <c r="L46" s="21">
        <f t="shared" si="1"/>
        <v>0.12</v>
      </c>
      <c r="M46" s="31">
        <f t="shared" si="2"/>
        <v>1.92</v>
      </c>
      <c r="N46" s="45">
        <f t="shared" si="3"/>
        <v>16</v>
      </c>
      <c r="O46" s="19">
        <f t="shared" si="4"/>
        <v>5.600641369589308</v>
      </c>
      <c r="P46" s="32">
        <f t="shared" si="5"/>
        <v>10.753231429611471</v>
      </c>
      <c r="Q46" s="219"/>
      <c r="R46" s="218"/>
    </row>
    <row r="47" spans="1:18" x14ac:dyDescent="0.25">
      <c r="A47" s="6">
        <v>100045</v>
      </c>
      <c r="B47" s="10" t="s">
        <v>45</v>
      </c>
      <c r="C47" s="55" t="s">
        <v>78</v>
      </c>
      <c r="D47" s="5">
        <v>27.930684158955497</v>
      </c>
      <c r="E47" s="12">
        <v>7.1502551446926041</v>
      </c>
      <c r="F47" s="13">
        <v>3.5751275723463021</v>
      </c>
      <c r="G47" s="14">
        <v>2.7941034242565177</v>
      </c>
      <c r="H47" s="16">
        <v>4.8896809924489064</v>
      </c>
      <c r="I47" s="17">
        <v>11.197916666666666</v>
      </c>
      <c r="J47" s="20">
        <v>2.5236194628326838</v>
      </c>
      <c r="K47" s="19">
        <f t="shared" si="0"/>
        <v>60.061387422199182</v>
      </c>
      <c r="L47" s="21">
        <f t="shared" si="1"/>
        <v>0.12</v>
      </c>
      <c r="M47" s="31">
        <f t="shared" si="2"/>
        <v>1.92</v>
      </c>
      <c r="N47" s="45">
        <f t="shared" si="3"/>
        <v>16</v>
      </c>
      <c r="O47" s="19">
        <f t="shared" si="4"/>
        <v>3.7538367138874489</v>
      </c>
      <c r="P47" s="32">
        <f t="shared" si="5"/>
        <v>7.2073664906639019</v>
      </c>
      <c r="Q47" s="219"/>
      <c r="R47" s="218"/>
    </row>
    <row r="48" spans="1:18" x14ac:dyDescent="0.25">
      <c r="A48" s="6">
        <v>100046</v>
      </c>
      <c r="B48" s="10" t="s">
        <v>46</v>
      </c>
      <c r="C48" s="55" t="s">
        <v>78</v>
      </c>
      <c r="D48" s="5">
        <v>22.510677498068834</v>
      </c>
      <c r="E48" s="12">
        <v>5.7627334395056202</v>
      </c>
      <c r="F48" s="13">
        <v>2.8813667197528106</v>
      </c>
      <c r="G48" s="14">
        <v>2.2519019126683788</v>
      </c>
      <c r="H48" s="16">
        <v>3.940828347169663</v>
      </c>
      <c r="I48" s="17">
        <v>11.197916666666666</v>
      </c>
      <c r="J48" s="20">
        <v>2.0339059198255134</v>
      </c>
      <c r="K48" s="19">
        <f t="shared" si="0"/>
        <v>50.579330503657488</v>
      </c>
      <c r="L48" s="21">
        <f t="shared" si="1"/>
        <v>0.12</v>
      </c>
      <c r="M48" s="31">
        <f t="shared" si="2"/>
        <v>1.92</v>
      </c>
      <c r="N48" s="45">
        <f t="shared" si="3"/>
        <v>16</v>
      </c>
      <c r="O48" s="19">
        <f t="shared" si="4"/>
        <v>3.161208156478593</v>
      </c>
      <c r="P48" s="32">
        <f t="shared" si="5"/>
        <v>6.0695196604388979</v>
      </c>
      <c r="Q48" s="219"/>
      <c r="R48" s="218"/>
    </row>
    <row r="49" spans="1:18" x14ac:dyDescent="0.25">
      <c r="A49" s="6">
        <v>100047</v>
      </c>
      <c r="B49" s="10" t="s">
        <v>47</v>
      </c>
      <c r="C49" s="55" t="s">
        <v>78</v>
      </c>
      <c r="D49" s="5">
        <v>34.307697021049513</v>
      </c>
      <c r="E49" s="12">
        <v>8.7827704373886721</v>
      </c>
      <c r="F49" s="13">
        <v>4.3913852186943352</v>
      </c>
      <c r="G49" s="14">
        <v>3.432041019093115</v>
      </c>
      <c r="H49" s="16">
        <v>6.0060717834129518</v>
      </c>
      <c r="I49" s="17">
        <v>84.999999999999986</v>
      </c>
      <c r="J49" s="20">
        <v>3.0998013308430603</v>
      </c>
      <c r="K49" s="19">
        <f t="shared" si="0"/>
        <v>145.01976681048163</v>
      </c>
      <c r="L49" s="21">
        <f t="shared" si="1"/>
        <v>0.12</v>
      </c>
      <c r="M49" s="31">
        <f t="shared" si="2"/>
        <v>1.92</v>
      </c>
      <c r="N49" s="45">
        <f t="shared" si="3"/>
        <v>16</v>
      </c>
      <c r="O49" s="19">
        <f t="shared" si="4"/>
        <v>9.0637354256551017</v>
      </c>
      <c r="P49" s="32">
        <f t="shared" si="5"/>
        <v>17.402372017257793</v>
      </c>
      <c r="Q49" s="219"/>
      <c r="R49" s="218"/>
    </row>
    <row r="50" spans="1:18" x14ac:dyDescent="0.25">
      <c r="A50" s="6">
        <v>100048</v>
      </c>
      <c r="B50" s="10" t="s">
        <v>48</v>
      </c>
      <c r="C50" s="56" t="s">
        <v>78</v>
      </c>
      <c r="D50" s="5">
        <v>27.616692191252579</v>
      </c>
      <c r="E50" s="12">
        <v>7.0698732009606573</v>
      </c>
      <c r="F50" s="13">
        <v>3.5349366004803287</v>
      </c>
      <c r="G50" s="14">
        <v>2.7626925920994942</v>
      </c>
      <c r="H50" s="16">
        <v>4.8347120361741149</v>
      </c>
      <c r="I50" s="17">
        <v>115.83333333333333</v>
      </c>
      <c r="J50" s="20">
        <v>2.4952493650449377</v>
      </c>
      <c r="K50" s="19">
        <f t="shared" si="0"/>
        <v>164.14748931934545</v>
      </c>
      <c r="L50" s="21">
        <f t="shared" si="1"/>
        <v>0.12</v>
      </c>
      <c r="M50" s="31">
        <f t="shared" si="2"/>
        <v>1.92</v>
      </c>
      <c r="N50" s="45">
        <f t="shared" si="3"/>
        <v>16</v>
      </c>
      <c r="O50" s="19">
        <f t="shared" si="4"/>
        <v>10.259218082459091</v>
      </c>
      <c r="P50" s="32">
        <f t="shared" si="5"/>
        <v>19.697698718321455</v>
      </c>
      <c r="Q50" s="219"/>
      <c r="R50" s="218"/>
    </row>
    <row r="51" spans="1:18" x14ac:dyDescent="0.25">
      <c r="A51" t="s">
        <v>51</v>
      </c>
      <c r="B51" s="3"/>
      <c r="D51" s="3"/>
      <c r="K51" s="18">
        <f>SUM(K3:K50)</f>
        <v>18999.489241117211</v>
      </c>
      <c r="O51" s="19">
        <f>SUM(O3:O50)</f>
        <v>1187.4680775698257</v>
      </c>
      <c r="P51" s="32">
        <f>SUM(P3:P50)</f>
        <v>2279.9387089340648</v>
      </c>
      <c r="Q51" s="219"/>
      <c r="R51" s="218"/>
    </row>
    <row r="52" spans="1:18" x14ac:dyDescent="0.25">
      <c r="A52" s="28" t="s">
        <v>52</v>
      </c>
      <c r="B52" s="3"/>
      <c r="D52" s="3"/>
      <c r="K52" s="91">
        <f>SUM(K35:K41)</f>
        <v>5944.6475304628939</v>
      </c>
      <c r="L52" s="83">
        <f>+K52*L50</f>
        <v>713.3577036555472</v>
      </c>
      <c r="M52" s="84">
        <f>+L52/45</f>
        <v>15.852393414567716</v>
      </c>
      <c r="N52" s="28"/>
      <c r="O52" s="26">
        <f>SUM(O35:O41)</f>
        <v>371.54047065393087</v>
      </c>
      <c r="P52" s="48">
        <f>SUM(P35:P41)</f>
        <v>713.35770365554708</v>
      </c>
      <c r="Q52" s="219"/>
      <c r="R52" s="218"/>
    </row>
    <row r="53" spans="1:18" x14ac:dyDescent="0.25">
      <c r="A53" t="s">
        <v>53</v>
      </c>
      <c r="E53" s="11"/>
      <c r="K53" s="90">
        <f>+K51-K52</f>
        <v>13054.841710654317</v>
      </c>
      <c r="L53" s="81">
        <f>+K53*L50</f>
        <v>1566.581005278518</v>
      </c>
      <c r="M53" s="82">
        <f>+L53/45</f>
        <v>34.812911228411508</v>
      </c>
      <c r="O53" s="19">
        <f>+O51-O52</f>
        <v>815.92760691589478</v>
      </c>
      <c r="P53" s="32">
        <f>+P51-P52</f>
        <v>1566.5810052785178</v>
      </c>
      <c r="Q53" s="219"/>
      <c r="R53" s="218"/>
    </row>
    <row r="54" spans="1:18" x14ac:dyDescent="0.25">
      <c r="E54" s="11"/>
      <c r="M54" s="18">
        <f>SUM(M52:M53)</f>
        <v>50.665304642979223</v>
      </c>
      <c r="O54" s="19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2"/>
  <sheetViews>
    <sheetView tabSelected="1" workbookViewId="0">
      <selection activeCell="C2" sqref="C2"/>
    </sheetView>
  </sheetViews>
  <sheetFormatPr baseColWidth="10" defaultRowHeight="15" x14ac:dyDescent="0.25"/>
  <cols>
    <col min="3" max="3" width="11.85546875" bestFit="1" customWidth="1"/>
    <col min="4" max="4" width="11.42578125" style="11"/>
    <col min="5" max="5" width="11.42578125" style="18"/>
    <col min="7" max="8" width="11.42578125" style="220"/>
  </cols>
  <sheetData>
    <row r="1" spans="1:12" ht="90" x14ac:dyDescent="0.25">
      <c r="A1" s="15" t="s">
        <v>224</v>
      </c>
      <c r="B1" s="15" t="s">
        <v>223</v>
      </c>
      <c r="C1" s="15" t="s">
        <v>228</v>
      </c>
      <c r="D1" s="15" t="s">
        <v>225</v>
      </c>
      <c r="E1" s="253" t="s">
        <v>226</v>
      </c>
      <c r="F1" s="15" t="s">
        <v>229</v>
      </c>
      <c r="G1" s="253" t="s">
        <v>231</v>
      </c>
      <c r="H1" s="253" t="s">
        <v>232</v>
      </c>
      <c r="I1" s="253" t="s">
        <v>233</v>
      </c>
      <c r="J1" s="253" t="s">
        <v>234</v>
      </c>
      <c r="K1" s="257" t="s">
        <v>235</v>
      </c>
    </row>
    <row r="2" spans="1:12" x14ac:dyDescent="0.25">
      <c r="A2" s="103">
        <v>1</v>
      </c>
      <c r="B2" s="103">
        <v>33</v>
      </c>
      <c r="C2" s="254">
        <f>+ALMACEN!$Z$10/33</f>
        <v>1.2E-2</v>
      </c>
      <c r="D2" s="215">
        <f>(+C2*B2)*2</f>
        <v>0.79200000000000004</v>
      </c>
      <c r="E2" s="20">
        <v>11</v>
      </c>
      <c r="F2" s="255">
        <f>+E2*D2</f>
        <v>8.7119999999999997</v>
      </c>
      <c r="G2" s="20"/>
      <c r="H2" s="20"/>
      <c r="I2" s="103"/>
      <c r="J2" s="216"/>
      <c r="K2" s="258">
        <f>SUM(F142:J142)*100</f>
        <v>61101.169430519054</v>
      </c>
      <c r="L2" s="103" t="s">
        <v>237</v>
      </c>
    </row>
    <row r="3" spans="1:12" x14ac:dyDescent="0.25">
      <c r="A3" s="103">
        <v>1</v>
      </c>
      <c r="B3" s="103">
        <f t="shared" ref="B3:B14" si="0">+B2-2</f>
        <v>31</v>
      </c>
      <c r="C3" s="254">
        <f>+ALMACEN!$Z$10/33</f>
        <v>1.2E-2</v>
      </c>
      <c r="D3" s="215">
        <f>(+C3*B3)*2</f>
        <v>0.74399999999999999</v>
      </c>
      <c r="E3" s="20">
        <v>1</v>
      </c>
      <c r="F3" s="255">
        <f t="shared" ref="F3:F68" si="1">+E3*D3</f>
        <v>0.74399999999999999</v>
      </c>
      <c r="G3" s="20">
        <v>3</v>
      </c>
      <c r="H3" s="256">
        <f>+G3*D3</f>
        <v>2.2320000000000002</v>
      </c>
      <c r="I3" s="103">
        <v>6</v>
      </c>
      <c r="J3" s="216">
        <f>+I3*D3</f>
        <v>4.4640000000000004</v>
      </c>
      <c r="K3" s="258">
        <f>+K2/60</f>
        <v>1018.3528238419842</v>
      </c>
      <c r="L3" s="103" t="s">
        <v>148</v>
      </c>
    </row>
    <row r="4" spans="1:12" x14ac:dyDescent="0.25">
      <c r="A4" s="103">
        <v>1</v>
      </c>
      <c r="B4" s="103">
        <f t="shared" si="0"/>
        <v>29</v>
      </c>
      <c r="C4" s="254">
        <f>+ALMACEN!$Z$10/33</f>
        <v>1.2E-2</v>
      </c>
      <c r="D4" s="215">
        <f t="shared" ref="D4:D68" si="2">(+C4*B4)*2</f>
        <v>0.69600000000000006</v>
      </c>
      <c r="E4" s="20" t="s">
        <v>60</v>
      </c>
      <c r="F4" s="255" t="s">
        <v>60</v>
      </c>
      <c r="G4" s="20"/>
      <c r="H4" s="20"/>
      <c r="I4" s="103">
        <v>3</v>
      </c>
      <c r="J4" s="216">
        <f>+I4*D4</f>
        <v>2.0880000000000001</v>
      </c>
      <c r="K4" s="258">
        <f>+K3/60</f>
        <v>16.972547064033069</v>
      </c>
      <c r="L4" s="103" t="s">
        <v>236</v>
      </c>
    </row>
    <row r="5" spans="1:12" x14ac:dyDescent="0.25">
      <c r="A5" s="103">
        <f>+A4+1</f>
        <v>2</v>
      </c>
      <c r="B5" s="103">
        <f t="shared" si="0"/>
        <v>27</v>
      </c>
      <c r="C5" s="254">
        <f>+ALMACEN!$Z$10/33</f>
        <v>1.2E-2</v>
      </c>
      <c r="D5" s="215">
        <f t="shared" si="2"/>
        <v>0.64800000000000002</v>
      </c>
      <c r="E5" s="20">
        <v>8</v>
      </c>
      <c r="F5" s="255">
        <f t="shared" si="1"/>
        <v>5.1840000000000002</v>
      </c>
      <c r="G5" s="20">
        <v>2</v>
      </c>
      <c r="H5" s="256">
        <f>+G5*D5</f>
        <v>1.296</v>
      </c>
      <c r="I5" s="103"/>
      <c r="J5" s="216"/>
    </row>
    <row r="6" spans="1:12" x14ac:dyDescent="0.25">
      <c r="A6" s="103">
        <v>2</v>
      </c>
      <c r="B6" s="103">
        <f t="shared" si="0"/>
        <v>25</v>
      </c>
      <c r="C6" s="254">
        <f>+ALMACEN!$Z$10/33</f>
        <v>1.2E-2</v>
      </c>
      <c r="D6" s="215">
        <f t="shared" si="2"/>
        <v>0.6</v>
      </c>
      <c r="E6" s="20" t="s">
        <v>60</v>
      </c>
      <c r="F6" s="255" t="s">
        <v>60</v>
      </c>
      <c r="G6" s="20"/>
      <c r="H6" s="20"/>
      <c r="I6" s="103">
        <v>8</v>
      </c>
      <c r="J6" s="216">
        <f t="shared" ref="J6:J15" si="3">+I6*D6</f>
        <v>4.8</v>
      </c>
    </row>
    <row r="7" spans="1:12" x14ac:dyDescent="0.25">
      <c r="A7" s="103">
        <f>+A6+1</f>
        <v>3</v>
      </c>
      <c r="B7" s="103">
        <f t="shared" si="0"/>
        <v>23</v>
      </c>
      <c r="C7" s="254">
        <f>+ALMACEN!$Z$10/33</f>
        <v>1.2E-2</v>
      </c>
      <c r="D7" s="215">
        <f t="shared" si="2"/>
        <v>0.55200000000000005</v>
      </c>
      <c r="E7" s="20">
        <v>2</v>
      </c>
      <c r="F7" s="255">
        <f t="shared" si="1"/>
        <v>1.1040000000000001</v>
      </c>
      <c r="G7" s="20">
        <v>1</v>
      </c>
      <c r="H7" s="256">
        <f>+G7*D7</f>
        <v>0.55200000000000005</v>
      </c>
      <c r="I7" s="103">
        <v>6</v>
      </c>
      <c r="J7" s="216">
        <f t="shared" si="3"/>
        <v>3.3120000000000003</v>
      </c>
    </row>
    <row r="8" spans="1:12" x14ac:dyDescent="0.25">
      <c r="A8" s="103">
        <v>4</v>
      </c>
      <c r="B8" s="103">
        <f t="shared" si="0"/>
        <v>21</v>
      </c>
      <c r="C8" s="254">
        <f>+ALMACEN!$Z$10/33</f>
        <v>1.2E-2</v>
      </c>
      <c r="D8" s="215">
        <f t="shared" si="2"/>
        <v>0.504</v>
      </c>
      <c r="E8" s="20">
        <v>4</v>
      </c>
      <c r="F8" s="255">
        <f t="shared" si="1"/>
        <v>2.016</v>
      </c>
      <c r="G8" s="20">
        <v>1</v>
      </c>
      <c r="H8" s="256">
        <f>+G8*D8</f>
        <v>0.504</v>
      </c>
      <c r="I8" s="103">
        <v>5</v>
      </c>
      <c r="J8" s="216">
        <f t="shared" si="3"/>
        <v>2.52</v>
      </c>
    </row>
    <row r="9" spans="1:12" x14ac:dyDescent="0.25">
      <c r="A9" s="103">
        <v>4</v>
      </c>
      <c r="B9" s="103">
        <f t="shared" si="0"/>
        <v>19</v>
      </c>
      <c r="C9" s="254">
        <f>+ALMACEN!$Z$10/33</f>
        <v>1.2E-2</v>
      </c>
      <c r="D9" s="215">
        <f t="shared" si="2"/>
        <v>0.45600000000000002</v>
      </c>
      <c r="E9" s="20" t="s">
        <v>60</v>
      </c>
      <c r="F9" s="255" t="s">
        <v>60</v>
      </c>
      <c r="G9" s="20"/>
      <c r="H9" s="20"/>
      <c r="I9" s="103">
        <v>1</v>
      </c>
      <c r="J9" s="216">
        <f t="shared" si="3"/>
        <v>0.45600000000000002</v>
      </c>
    </row>
    <row r="10" spans="1:12" x14ac:dyDescent="0.25">
      <c r="A10" s="103">
        <f>+A9+1</f>
        <v>5</v>
      </c>
      <c r="B10" s="103">
        <f t="shared" si="0"/>
        <v>17</v>
      </c>
      <c r="C10" s="254">
        <f>+ALMACEN!$Z$10/33</f>
        <v>1.2E-2</v>
      </c>
      <c r="D10" s="215">
        <f t="shared" si="2"/>
        <v>0.40800000000000003</v>
      </c>
      <c r="E10" s="20">
        <v>2</v>
      </c>
      <c r="F10" s="255">
        <f t="shared" si="1"/>
        <v>0.81600000000000006</v>
      </c>
      <c r="G10" s="20">
        <v>1</v>
      </c>
      <c r="H10" s="256">
        <f>+G10*D10</f>
        <v>0.40800000000000003</v>
      </c>
      <c r="I10" s="103">
        <v>7</v>
      </c>
      <c r="J10" s="216">
        <f t="shared" si="3"/>
        <v>2.8560000000000003</v>
      </c>
    </row>
    <row r="11" spans="1:12" x14ac:dyDescent="0.25">
      <c r="A11" s="103">
        <f>+A10+1</f>
        <v>6</v>
      </c>
      <c r="B11" s="103">
        <f t="shared" si="0"/>
        <v>15</v>
      </c>
      <c r="C11" s="254">
        <f>+ALMACEN!$Z$10/33</f>
        <v>1.2E-2</v>
      </c>
      <c r="D11" s="215">
        <f t="shared" si="2"/>
        <v>0.36</v>
      </c>
      <c r="E11" s="20">
        <v>2</v>
      </c>
      <c r="F11" s="255">
        <f t="shared" si="1"/>
        <v>0.72</v>
      </c>
      <c r="G11" s="20">
        <v>1</v>
      </c>
      <c r="H11" s="256">
        <f>+G11*D11</f>
        <v>0.36</v>
      </c>
      <c r="I11" s="103">
        <v>7</v>
      </c>
      <c r="J11" s="216">
        <f t="shared" si="3"/>
        <v>2.52</v>
      </c>
    </row>
    <row r="12" spans="1:12" x14ac:dyDescent="0.25">
      <c r="A12" s="103">
        <v>6</v>
      </c>
      <c r="B12" s="103">
        <f t="shared" si="0"/>
        <v>13</v>
      </c>
      <c r="C12" s="254">
        <f>+ALMACEN!$Z$10/33</f>
        <v>1.2E-2</v>
      </c>
      <c r="D12" s="215">
        <f t="shared" si="2"/>
        <v>0.312</v>
      </c>
      <c r="E12" s="20" t="s">
        <v>60</v>
      </c>
      <c r="F12" s="255" t="s">
        <v>60</v>
      </c>
      <c r="G12" s="20"/>
      <c r="H12" s="20"/>
      <c r="I12" s="103">
        <v>2</v>
      </c>
      <c r="J12" s="216">
        <f t="shared" si="3"/>
        <v>0.624</v>
      </c>
    </row>
    <row r="13" spans="1:12" x14ac:dyDescent="0.25">
      <c r="A13" s="103">
        <f>+A12+1</f>
        <v>7</v>
      </c>
      <c r="B13" s="103">
        <f t="shared" si="0"/>
        <v>11</v>
      </c>
      <c r="C13" s="254">
        <f>+ALMACEN!$Z$10/33</f>
        <v>1.2E-2</v>
      </c>
      <c r="D13" s="215">
        <f t="shared" si="2"/>
        <v>0.26400000000000001</v>
      </c>
      <c r="E13" s="20">
        <v>7</v>
      </c>
      <c r="F13" s="255">
        <f t="shared" si="1"/>
        <v>1.8480000000000001</v>
      </c>
      <c r="G13" s="20">
        <v>2</v>
      </c>
      <c r="H13" s="256">
        <f>+G13*D13</f>
        <v>0.52800000000000002</v>
      </c>
      <c r="I13" s="103">
        <v>1</v>
      </c>
      <c r="J13" s="216">
        <f t="shared" si="3"/>
        <v>0.26400000000000001</v>
      </c>
    </row>
    <row r="14" spans="1:12" x14ac:dyDescent="0.25">
      <c r="A14" s="103">
        <v>7</v>
      </c>
      <c r="B14" s="103">
        <f t="shared" si="0"/>
        <v>9</v>
      </c>
      <c r="C14" s="254">
        <f>+ALMACEN!$Z$10/33</f>
        <v>1.2E-2</v>
      </c>
      <c r="D14" s="215">
        <f t="shared" si="2"/>
        <v>0.216</v>
      </c>
      <c r="E14" s="20" t="s">
        <v>60</v>
      </c>
      <c r="F14" s="255" t="s">
        <v>60</v>
      </c>
      <c r="G14" s="20"/>
      <c r="H14" s="20"/>
      <c r="I14" s="103">
        <v>4</v>
      </c>
      <c r="J14" s="216">
        <f t="shared" si="3"/>
        <v>0.86399999999999999</v>
      </c>
    </row>
    <row r="15" spans="1:12" x14ac:dyDescent="0.25">
      <c r="A15" s="103">
        <f>+A14+1</f>
        <v>8</v>
      </c>
      <c r="B15" s="103">
        <v>33</v>
      </c>
      <c r="C15" s="254">
        <f>+ALMACEN!$Z$10/33</f>
        <v>1.2E-2</v>
      </c>
      <c r="D15" s="215">
        <f t="shared" si="2"/>
        <v>0.79200000000000004</v>
      </c>
      <c r="E15" s="20">
        <v>3</v>
      </c>
      <c r="F15" s="255">
        <f t="shared" si="1"/>
        <v>2.3760000000000003</v>
      </c>
      <c r="G15" s="20">
        <v>1</v>
      </c>
      <c r="H15" s="256">
        <f>+G15*D15</f>
        <v>0.79200000000000004</v>
      </c>
      <c r="I15" s="103">
        <v>3</v>
      </c>
      <c r="J15" s="216">
        <f t="shared" si="3"/>
        <v>2.3760000000000003</v>
      </c>
    </row>
    <row r="16" spans="1:12" x14ac:dyDescent="0.25">
      <c r="A16" s="103">
        <f>+A15+1</f>
        <v>9</v>
      </c>
      <c r="B16" s="103">
        <f t="shared" ref="B16:B27" si="4">+B15-2</f>
        <v>31</v>
      </c>
      <c r="C16" s="254">
        <f>+ALMACEN!$Z$10/33</f>
        <v>1.2E-2</v>
      </c>
      <c r="D16" s="215">
        <f t="shared" si="2"/>
        <v>0.74399999999999999</v>
      </c>
      <c r="E16" s="20">
        <v>10</v>
      </c>
      <c r="F16" s="255">
        <f t="shared" si="1"/>
        <v>7.4399999999999995</v>
      </c>
      <c r="G16" s="20"/>
      <c r="H16" s="20"/>
      <c r="I16" s="103"/>
      <c r="J16" s="216"/>
    </row>
    <row r="17" spans="1:10" x14ac:dyDescent="0.25">
      <c r="A17" s="103">
        <v>9</v>
      </c>
      <c r="B17" s="103">
        <f t="shared" si="4"/>
        <v>29</v>
      </c>
      <c r="C17" s="254">
        <f>+ALMACEN!$Z$10/33</f>
        <v>1.2E-2</v>
      </c>
      <c r="D17" s="215">
        <f t="shared" si="2"/>
        <v>0.69600000000000006</v>
      </c>
      <c r="E17" s="20">
        <v>2</v>
      </c>
      <c r="F17" s="255">
        <f t="shared" si="1"/>
        <v>1.3920000000000001</v>
      </c>
      <c r="G17" s="20">
        <v>3</v>
      </c>
      <c r="H17" s="256">
        <f>+G17*D17</f>
        <v>2.0880000000000001</v>
      </c>
      <c r="I17" s="103">
        <v>5</v>
      </c>
      <c r="J17" s="216">
        <f>+I17*D17</f>
        <v>3.4800000000000004</v>
      </c>
    </row>
    <row r="18" spans="1:10" x14ac:dyDescent="0.25">
      <c r="A18" s="103">
        <v>9</v>
      </c>
      <c r="B18" s="103">
        <f t="shared" si="4"/>
        <v>27</v>
      </c>
      <c r="C18" s="254">
        <f>+ALMACEN!$Z$10/33</f>
        <v>1.2E-2</v>
      </c>
      <c r="D18" s="215">
        <f t="shared" si="2"/>
        <v>0.64800000000000002</v>
      </c>
      <c r="E18" s="20" t="s">
        <v>60</v>
      </c>
      <c r="F18" s="255" t="s">
        <v>60</v>
      </c>
      <c r="G18" s="20"/>
      <c r="H18" s="20"/>
      <c r="I18" s="103">
        <v>3</v>
      </c>
      <c r="J18" s="216">
        <f>+I18*D18</f>
        <v>1.944</v>
      </c>
    </row>
    <row r="19" spans="1:10" x14ac:dyDescent="0.25">
      <c r="A19" s="103">
        <f>+A18+1</f>
        <v>10</v>
      </c>
      <c r="B19" s="103">
        <f t="shared" si="4"/>
        <v>25</v>
      </c>
      <c r="C19" s="254">
        <f>+ALMACEN!$Z$10/33</f>
        <v>1.2E-2</v>
      </c>
      <c r="D19" s="215">
        <f t="shared" si="2"/>
        <v>0.6</v>
      </c>
      <c r="E19" s="20">
        <v>10</v>
      </c>
      <c r="F19" s="255">
        <f t="shared" si="1"/>
        <v>6</v>
      </c>
      <c r="G19" s="20"/>
      <c r="H19" s="20"/>
      <c r="I19" s="103"/>
      <c r="J19" s="216"/>
    </row>
    <row r="20" spans="1:10" x14ac:dyDescent="0.25">
      <c r="A20" s="103">
        <v>10</v>
      </c>
      <c r="B20" s="103">
        <f t="shared" si="4"/>
        <v>23</v>
      </c>
      <c r="C20" s="254">
        <f>+ALMACEN!$Z$10/33</f>
        <v>1.2E-2</v>
      </c>
      <c r="D20" s="215">
        <f t="shared" si="2"/>
        <v>0.55200000000000005</v>
      </c>
      <c r="E20" s="20" t="s">
        <v>60</v>
      </c>
      <c r="F20" s="255" t="s">
        <v>60</v>
      </c>
      <c r="G20" s="20">
        <v>3</v>
      </c>
      <c r="H20" s="256">
        <f>+G20*D20</f>
        <v>1.6560000000000001</v>
      </c>
      <c r="I20" s="103">
        <v>7</v>
      </c>
      <c r="J20" s="216">
        <f>+I20*D20</f>
        <v>3.8640000000000003</v>
      </c>
    </row>
    <row r="21" spans="1:10" x14ac:dyDescent="0.25">
      <c r="A21" s="103">
        <v>11</v>
      </c>
      <c r="B21" s="103">
        <f t="shared" si="4"/>
        <v>21</v>
      </c>
      <c r="C21" s="254">
        <f>+ALMACEN!$Z$10/33</f>
        <v>1.2E-2</v>
      </c>
      <c r="D21" s="215">
        <f t="shared" si="2"/>
        <v>0.504</v>
      </c>
      <c r="E21" s="20">
        <v>10</v>
      </c>
      <c r="F21" s="255">
        <f t="shared" si="1"/>
        <v>5.04</v>
      </c>
      <c r="G21" s="20"/>
      <c r="H21" s="20"/>
      <c r="I21" s="103"/>
      <c r="J21" s="216"/>
    </row>
    <row r="22" spans="1:10" x14ac:dyDescent="0.25">
      <c r="A22" s="103">
        <v>11</v>
      </c>
      <c r="B22" s="103">
        <f t="shared" si="4"/>
        <v>19</v>
      </c>
      <c r="C22" s="254">
        <f>+ALMACEN!$Z$10/33</f>
        <v>1.2E-2</v>
      </c>
      <c r="D22" s="215">
        <f t="shared" si="2"/>
        <v>0.45600000000000002</v>
      </c>
      <c r="E22" s="20">
        <v>4</v>
      </c>
      <c r="F22" s="255">
        <f t="shared" si="1"/>
        <v>1.8240000000000001</v>
      </c>
      <c r="G22" s="20">
        <v>4</v>
      </c>
      <c r="H22" s="256">
        <f>+G22*D22</f>
        <v>1.8240000000000001</v>
      </c>
      <c r="I22" s="103">
        <v>2</v>
      </c>
      <c r="J22" s="216">
        <f>+I22*D22</f>
        <v>0.91200000000000003</v>
      </c>
    </row>
    <row r="23" spans="1:10" x14ac:dyDescent="0.25">
      <c r="A23" s="103">
        <v>11</v>
      </c>
      <c r="B23" s="103">
        <f t="shared" si="4"/>
        <v>17</v>
      </c>
      <c r="C23" s="254">
        <f>+ALMACEN!$Z$10/33</f>
        <v>1.2E-2</v>
      </c>
      <c r="D23" s="215">
        <f t="shared" si="2"/>
        <v>0.40800000000000003</v>
      </c>
      <c r="E23" s="20" t="s">
        <v>60</v>
      </c>
      <c r="F23" s="255" t="s">
        <v>60</v>
      </c>
      <c r="G23" s="20"/>
      <c r="H23" s="20"/>
      <c r="I23" s="103">
        <v>6</v>
      </c>
      <c r="J23" s="216">
        <f>+I23*D23</f>
        <v>2.4480000000000004</v>
      </c>
    </row>
    <row r="24" spans="1:10" x14ac:dyDescent="0.25">
      <c r="A24" s="103">
        <v>12</v>
      </c>
      <c r="B24" s="103">
        <f t="shared" si="4"/>
        <v>15</v>
      </c>
      <c r="C24" s="254">
        <f>+ALMACEN!$Z$10/33</f>
        <v>1.2E-2</v>
      </c>
      <c r="D24" s="215">
        <f t="shared" si="2"/>
        <v>0.36</v>
      </c>
      <c r="E24" s="20">
        <v>10</v>
      </c>
      <c r="F24" s="255">
        <f t="shared" si="1"/>
        <v>3.5999999999999996</v>
      </c>
      <c r="G24" s="20"/>
      <c r="H24" s="20"/>
      <c r="I24" s="103"/>
      <c r="J24" s="216"/>
    </row>
    <row r="25" spans="1:10" x14ac:dyDescent="0.25">
      <c r="A25" s="103">
        <v>12</v>
      </c>
      <c r="B25" s="103">
        <f t="shared" si="4"/>
        <v>13</v>
      </c>
      <c r="C25" s="254">
        <f>+ALMACEN!$Z$10/33</f>
        <v>1.2E-2</v>
      </c>
      <c r="D25" s="215">
        <f t="shared" si="2"/>
        <v>0.312</v>
      </c>
      <c r="E25" s="20">
        <v>1</v>
      </c>
      <c r="F25" s="255">
        <f t="shared" si="1"/>
        <v>0.312</v>
      </c>
      <c r="G25" s="20">
        <v>3</v>
      </c>
      <c r="H25" s="256">
        <f>+G25*D25</f>
        <v>0.93599999999999994</v>
      </c>
      <c r="I25" s="103">
        <v>6</v>
      </c>
      <c r="J25" s="216">
        <f>+I25*D25</f>
        <v>1.8719999999999999</v>
      </c>
    </row>
    <row r="26" spans="1:10" x14ac:dyDescent="0.25">
      <c r="A26" s="103">
        <v>13</v>
      </c>
      <c r="B26" s="103">
        <f t="shared" si="4"/>
        <v>11</v>
      </c>
      <c r="C26" s="254">
        <f>+ALMACEN!$Z$10/33</f>
        <v>1.2E-2</v>
      </c>
      <c r="D26" s="215">
        <f t="shared" si="2"/>
        <v>0.26400000000000001</v>
      </c>
      <c r="E26" s="20">
        <v>8</v>
      </c>
      <c r="F26" s="255">
        <f t="shared" si="1"/>
        <v>2.1120000000000001</v>
      </c>
      <c r="G26" s="20">
        <v>2</v>
      </c>
      <c r="H26" s="256">
        <f>+G26*D26</f>
        <v>0.52800000000000002</v>
      </c>
      <c r="I26" s="103"/>
      <c r="J26" s="216"/>
    </row>
    <row r="27" spans="1:10" x14ac:dyDescent="0.25">
      <c r="A27" s="103">
        <v>13</v>
      </c>
      <c r="B27" s="103">
        <f t="shared" si="4"/>
        <v>9</v>
      </c>
      <c r="C27" s="254">
        <f>+ALMACEN!$Z$10/33</f>
        <v>1.2E-2</v>
      </c>
      <c r="D27" s="215">
        <f t="shared" si="2"/>
        <v>0.216</v>
      </c>
      <c r="E27" s="20" t="s">
        <v>60</v>
      </c>
      <c r="F27" s="255" t="s">
        <v>60</v>
      </c>
      <c r="G27" s="20"/>
      <c r="H27" s="20"/>
      <c r="I27" s="103">
        <v>6</v>
      </c>
      <c r="J27" s="216">
        <f>+I27*D27</f>
        <v>1.296</v>
      </c>
    </row>
    <row r="28" spans="1:10" x14ac:dyDescent="0.25">
      <c r="A28" s="103">
        <v>14</v>
      </c>
      <c r="B28" s="103">
        <v>33</v>
      </c>
      <c r="C28" s="254">
        <f>+ALMACEN!$Z$10/33</f>
        <v>1.2E-2</v>
      </c>
      <c r="D28" s="215">
        <f t="shared" si="2"/>
        <v>0.79200000000000004</v>
      </c>
      <c r="E28" s="20">
        <v>10</v>
      </c>
      <c r="F28" s="255">
        <f t="shared" si="1"/>
        <v>7.92</v>
      </c>
      <c r="G28" s="20"/>
      <c r="H28" s="20"/>
      <c r="I28" s="103"/>
      <c r="J28" s="216"/>
    </row>
    <row r="29" spans="1:10" x14ac:dyDescent="0.25">
      <c r="A29" s="103">
        <v>14</v>
      </c>
      <c r="B29" s="103">
        <f t="shared" ref="B29:B40" si="5">+B28-2</f>
        <v>31</v>
      </c>
      <c r="C29" s="254">
        <f>+ALMACEN!$Z$10/33</f>
        <v>1.2E-2</v>
      </c>
      <c r="D29" s="215">
        <f t="shared" si="2"/>
        <v>0.74399999999999999</v>
      </c>
      <c r="E29" s="20">
        <v>4</v>
      </c>
      <c r="F29" s="255">
        <f t="shared" si="1"/>
        <v>2.976</v>
      </c>
      <c r="G29" s="20">
        <v>4</v>
      </c>
      <c r="H29" s="256">
        <f>+G29*D29</f>
        <v>2.976</v>
      </c>
      <c r="I29" s="103">
        <v>2</v>
      </c>
      <c r="J29" s="216">
        <f>+I29*D29</f>
        <v>1.488</v>
      </c>
    </row>
    <row r="30" spans="1:10" x14ac:dyDescent="0.25">
      <c r="A30" s="103">
        <v>14</v>
      </c>
      <c r="B30" s="103">
        <f t="shared" si="5"/>
        <v>29</v>
      </c>
      <c r="C30" s="254">
        <f>+ALMACEN!$Z$10/33</f>
        <v>1.2E-2</v>
      </c>
      <c r="D30" s="215">
        <f t="shared" si="2"/>
        <v>0.69600000000000006</v>
      </c>
      <c r="E30" s="20" t="s">
        <v>60</v>
      </c>
      <c r="F30" s="255" t="s">
        <v>60</v>
      </c>
      <c r="G30" s="20"/>
      <c r="H30" s="20"/>
      <c r="I30" s="103">
        <v>6</v>
      </c>
      <c r="J30" s="216">
        <f>+I30*D30</f>
        <v>4.1760000000000002</v>
      </c>
    </row>
    <row r="31" spans="1:10" x14ac:dyDescent="0.25">
      <c r="A31" s="103">
        <v>15</v>
      </c>
      <c r="B31" s="103">
        <f t="shared" si="5"/>
        <v>27</v>
      </c>
      <c r="C31" s="254">
        <f>+ALMACEN!$Z$10/33</f>
        <v>1.2E-2</v>
      </c>
      <c r="D31" s="215">
        <f t="shared" si="2"/>
        <v>0.64800000000000002</v>
      </c>
      <c r="E31" s="20">
        <v>10</v>
      </c>
      <c r="F31" s="255">
        <f t="shared" si="1"/>
        <v>6.48</v>
      </c>
      <c r="G31" s="20"/>
      <c r="H31" s="20"/>
      <c r="I31" s="103"/>
      <c r="J31" s="216"/>
    </row>
    <row r="32" spans="1:10" x14ac:dyDescent="0.25">
      <c r="A32" s="103">
        <v>15</v>
      </c>
      <c r="B32" s="103">
        <f t="shared" si="5"/>
        <v>25</v>
      </c>
      <c r="C32" s="254">
        <f>+ALMACEN!$Z$10/33</f>
        <v>1.2E-2</v>
      </c>
      <c r="D32" s="215">
        <f t="shared" si="2"/>
        <v>0.6</v>
      </c>
      <c r="E32" s="20">
        <v>10</v>
      </c>
      <c r="F32" s="255">
        <f t="shared" si="1"/>
        <v>6</v>
      </c>
      <c r="G32" s="20"/>
      <c r="H32" s="20"/>
      <c r="I32" s="103"/>
      <c r="J32" s="216"/>
    </row>
    <row r="33" spans="1:10" x14ac:dyDescent="0.25">
      <c r="A33" s="103">
        <v>15</v>
      </c>
      <c r="B33" s="103">
        <f t="shared" si="5"/>
        <v>23</v>
      </c>
      <c r="C33" s="254">
        <f>+ALMACEN!$Z$10/33</f>
        <v>1.2E-2</v>
      </c>
      <c r="D33" s="215">
        <f t="shared" si="2"/>
        <v>0.55200000000000005</v>
      </c>
      <c r="E33" s="20">
        <v>3</v>
      </c>
      <c r="F33" s="255">
        <f t="shared" si="1"/>
        <v>1.6560000000000001</v>
      </c>
      <c r="G33" s="20">
        <v>6</v>
      </c>
      <c r="H33" s="256">
        <f>+G33*D33</f>
        <v>3.3120000000000003</v>
      </c>
      <c r="I33" s="103">
        <v>1</v>
      </c>
      <c r="J33" s="216">
        <f t="shared" ref="J33:J42" si="6">+I33*D33</f>
        <v>0.55200000000000005</v>
      </c>
    </row>
    <row r="34" spans="1:10" x14ac:dyDescent="0.25">
      <c r="A34" s="103">
        <v>15</v>
      </c>
      <c r="B34" s="103">
        <f t="shared" si="5"/>
        <v>21</v>
      </c>
      <c r="C34" s="254">
        <f>+ALMACEN!$Z$10/33</f>
        <v>1.2E-2</v>
      </c>
      <c r="D34" s="215">
        <f t="shared" si="2"/>
        <v>0.504</v>
      </c>
      <c r="E34" s="20" t="s">
        <v>60</v>
      </c>
      <c r="F34" s="255" t="s">
        <v>60</v>
      </c>
      <c r="G34" s="20"/>
      <c r="H34" s="20"/>
      <c r="I34" s="103">
        <v>10</v>
      </c>
      <c r="J34" s="216">
        <f t="shared" si="6"/>
        <v>5.04</v>
      </c>
    </row>
    <row r="35" spans="1:10" x14ac:dyDescent="0.25">
      <c r="A35" s="103">
        <v>15</v>
      </c>
      <c r="B35" s="103">
        <f t="shared" si="5"/>
        <v>19</v>
      </c>
      <c r="C35" s="254">
        <f>+ALMACEN!$Z$10/33</f>
        <v>1.2E-2</v>
      </c>
      <c r="D35" s="215">
        <f t="shared" si="2"/>
        <v>0.45600000000000002</v>
      </c>
      <c r="E35" s="20" t="s">
        <v>60</v>
      </c>
      <c r="F35" s="255" t="s">
        <v>60</v>
      </c>
      <c r="G35" s="20"/>
      <c r="H35" s="20"/>
      <c r="I35" s="103">
        <v>2</v>
      </c>
      <c r="J35" s="216">
        <f t="shared" si="6"/>
        <v>0.91200000000000003</v>
      </c>
    </row>
    <row r="36" spans="1:10" x14ac:dyDescent="0.25">
      <c r="A36" s="103">
        <v>16</v>
      </c>
      <c r="B36" s="103">
        <f t="shared" si="5"/>
        <v>17</v>
      </c>
      <c r="C36" s="254">
        <f>+ALMACEN!$Z$10/33</f>
        <v>1.2E-2</v>
      </c>
      <c r="D36" s="215">
        <f t="shared" si="2"/>
        <v>0.40800000000000003</v>
      </c>
      <c r="E36" s="20">
        <v>3</v>
      </c>
      <c r="F36" s="255">
        <f t="shared" si="1"/>
        <v>1.2240000000000002</v>
      </c>
      <c r="G36" s="20">
        <v>1</v>
      </c>
      <c r="H36" s="256">
        <f>+G36*D36</f>
        <v>0.40800000000000003</v>
      </c>
      <c r="I36" s="103">
        <v>6</v>
      </c>
      <c r="J36" s="216">
        <f t="shared" si="6"/>
        <v>2.4480000000000004</v>
      </c>
    </row>
    <row r="37" spans="1:10" x14ac:dyDescent="0.25">
      <c r="A37" s="103">
        <v>17</v>
      </c>
      <c r="B37" s="103">
        <f t="shared" si="5"/>
        <v>15</v>
      </c>
      <c r="C37" s="254">
        <f>+ALMACEN!$Z$10/33</f>
        <v>1.2E-2</v>
      </c>
      <c r="D37" s="215">
        <f t="shared" si="2"/>
        <v>0.36</v>
      </c>
      <c r="E37" s="20">
        <v>3</v>
      </c>
      <c r="F37" s="255">
        <f t="shared" si="1"/>
        <v>1.08</v>
      </c>
      <c r="G37" s="20">
        <v>1</v>
      </c>
      <c r="H37" s="256">
        <f>+G37*D37</f>
        <v>0.36</v>
      </c>
      <c r="I37" s="103">
        <v>4</v>
      </c>
      <c r="J37" s="216">
        <f t="shared" si="6"/>
        <v>1.44</v>
      </c>
    </row>
    <row r="38" spans="1:10" x14ac:dyDescent="0.25">
      <c r="A38" s="103">
        <f>+A37+1</f>
        <v>18</v>
      </c>
      <c r="B38" s="103">
        <f t="shared" si="5"/>
        <v>13</v>
      </c>
      <c r="C38" s="254">
        <f>+ALMACEN!$Z$10/33</f>
        <v>1.2E-2</v>
      </c>
      <c r="D38" s="215">
        <f t="shared" si="2"/>
        <v>0.312</v>
      </c>
      <c r="E38" s="20">
        <v>1</v>
      </c>
      <c r="F38" s="255">
        <f t="shared" si="1"/>
        <v>0.312</v>
      </c>
      <c r="G38" s="20">
        <v>1</v>
      </c>
      <c r="H38" s="256">
        <f>+G38*D38</f>
        <v>0.312</v>
      </c>
      <c r="I38" s="103">
        <v>8</v>
      </c>
      <c r="J38" s="216">
        <f t="shared" si="6"/>
        <v>2.496</v>
      </c>
    </row>
    <row r="39" spans="1:10" x14ac:dyDescent="0.25">
      <c r="A39" s="103">
        <v>19</v>
      </c>
      <c r="B39" s="103">
        <f t="shared" si="5"/>
        <v>11</v>
      </c>
      <c r="C39" s="254">
        <f>+ALMACEN!$Z$10/33</f>
        <v>1.2E-2</v>
      </c>
      <c r="D39" s="215">
        <f t="shared" si="2"/>
        <v>0.26400000000000001</v>
      </c>
      <c r="E39" s="20">
        <f>+CUBICAJE!D40/CUBICAJE!N40</f>
        <v>1.852868586128172</v>
      </c>
      <c r="F39" s="255">
        <f t="shared" si="1"/>
        <v>0.48915730673783742</v>
      </c>
      <c r="G39" s="20">
        <v>1</v>
      </c>
      <c r="H39" s="256">
        <f>+G39*D39</f>
        <v>0.26400000000000001</v>
      </c>
      <c r="I39" s="103">
        <v>7</v>
      </c>
      <c r="J39" s="216">
        <f t="shared" si="6"/>
        <v>1.8480000000000001</v>
      </c>
    </row>
    <row r="40" spans="1:10" x14ac:dyDescent="0.25">
      <c r="A40" s="103">
        <v>19</v>
      </c>
      <c r="B40" s="103">
        <f t="shared" si="5"/>
        <v>9</v>
      </c>
      <c r="C40" s="254">
        <f>+ALMACEN!$Z$10/33</f>
        <v>1.2E-2</v>
      </c>
      <c r="D40" s="215">
        <f t="shared" si="2"/>
        <v>0.216</v>
      </c>
      <c r="E40" s="20" t="s">
        <v>60</v>
      </c>
      <c r="F40" s="255" t="s">
        <v>60</v>
      </c>
      <c r="G40" s="20" t="s">
        <v>60</v>
      </c>
      <c r="H40" s="256" t="s">
        <v>60</v>
      </c>
      <c r="I40" s="103">
        <v>4</v>
      </c>
      <c r="J40" s="216">
        <f t="shared" si="6"/>
        <v>0.86399999999999999</v>
      </c>
    </row>
    <row r="41" spans="1:10" x14ac:dyDescent="0.25">
      <c r="A41" s="103">
        <v>20</v>
      </c>
      <c r="B41" s="103">
        <v>33</v>
      </c>
      <c r="C41" s="254">
        <f>+ALMACEN!$Z$10/33</f>
        <v>1.2E-2</v>
      </c>
      <c r="D41" s="215">
        <f t="shared" si="2"/>
        <v>0.79200000000000004</v>
      </c>
      <c r="E41" s="20">
        <v>4</v>
      </c>
      <c r="F41" s="255">
        <f t="shared" si="1"/>
        <v>3.1680000000000001</v>
      </c>
      <c r="G41" s="20">
        <v>1</v>
      </c>
      <c r="H41" s="256">
        <f>+G41*D41</f>
        <v>0.79200000000000004</v>
      </c>
      <c r="I41" s="103">
        <v>5</v>
      </c>
      <c r="J41" s="216">
        <f t="shared" si="6"/>
        <v>3.96</v>
      </c>
    </row>
    <row r="42" spans="1:10" x14ac:dyDescent="0.25">
      <c r="A42" s="103">
        <v>20</v>
      </c>
      <c r="B42" s="103">
        <f>+B41-2</f>
        <v>31</v>
      </c>
      <c r="C42" s="254">
        <f>+ALMACEN!$Z$10/33</f>
        <v>1.2E-2</v>
      </c>
      <c r="D42" s="215">
        <f t="shared" si="2"/>
        <v>0.74399999999999999</v>
      </c>
      <c r="E42" s="20" t="s">
        <v>60</v>
      </c>
      <c r="F42" s="255" t="s">
        <v>60</v>
      </c>
      <c r="G42" s="20"/>
      <c r="H42" s="20"/>
      <c r="I42" s="103">
        <v>5</v>
      </c>
      <c r="J42" s="216">
        <f t="shared" si="6"/>
        <v>3.7199999999999998</v>
      </c>
    </row>
    <row r="43" spans="1:10" x14ac:dyDescent="0.25">
      <c r="A43" s="103">
        <v>21</v>
      </c>
      <c r="B43" s="103">
        <v>25</v>
      </c>
      <c r="C43" s="254">
        <f>+ALMACEN!$Z$10/33</f>
        <v>1.2E-2</v>
      </c>
      <c r="D43" s="215">
        <f t="shared" si="2"/>
        <v>0.6</v>
      </c>
      <c r="E43" s="20">
        <v>10</v>
      </c>
      <c r="F43" s="255">
        <f t="shared" si="1"/>
        <v>6</v>
      </c>
      <c r="G43" s="20"/>
      <c r="H43" s="20"/>
      <c r="I43" s="103"/>
      <c r="J43" s="216"/>
    </row>
    <row r="44" spans="1:10" x14ac:dyDescent="0.25">
      <c r="A44" s="103">
        <v>21</v>
      </c>
      <c r="B44" s="103">
        <f t="shared" ref="B44:B49" si="7">+B43-2</f>
        <v>23</v>
      </c>
      <c r="C44" s="254">
        <f>+ALMACEN!$Z$10/33</f>
        <v>1.2E-2</v>
      </c>
      <c r="D44" s="215">
        <f t="shared" si="2"/>
        <v>0.55200000000000005</v>
      </c>
      <c r="E44" s="20">
        <f>+CUBICAJE!D45/CUBICAJE!N45</f>
        <v>1.4973496348782087</v>
      </c>
      <c r="F44" s="255">
        <f t="shared" si="1"/>
        <v>0.82653699845277129</v>
      </c>
      <c r="G44" s="20">
        <v>3</v>
      </c>
      <c r="H44" s="256">
        <f>+G44*D44</f>
        <v>1.6560000000000001</v>
      </c>
      <c r="I44" s="103">
        <v>6</v>
      </c>
      <c r="J44" s="216">
        <f>+I44*D44</f>
        <v>3.3120000000000003</v>
      </c>
    </row>
    <row r="45" spans="1:10" x14ac:dyDescent="0.25">
      <c r="A45" s="103">
        <v>21</v>
      </c>
      <c r="B45" s="103">
        <f t="shared" si="7"/>
        <v>21</v>
      </c>
      <c r="C45" s="254">
        <f>+ALMACEN!$Z$10/33</f>
        <v>1.2E-2</v>
      </c>
      <c r="D45" s="215">
        <f t="shared" si="2"/>
        <v>0.504</v>
      </c>
      <c r="E45" s="20" t="s">
        <v>60</v>
      </c>
      <c r="F45" s="255" t="s">
        <v>60</v>
      </c>
      <c r="G45" s="20"/>
      <c r="H45" s="20"/>
      <c r="I45" s="103">
        <v>10</v>
      </c>
      <c r="J45" s="216">
        <f>+I45*D45</f>
        <v>5.04</v>
      </c>
    </row>
    <row r="46" spans="1:10" x14ac:dyDescent="0.25">
      <c r="A46" s="103">
        <v>22</v>
      </c>
      <c r="B46" s="103">
        <f t="shared" si="7"/>
        <v>19</v>
      </c>
      <c r="C46" s="254">
        <f>+ALMACEN!$Z$10/33</f>
        <v>1.2E-2</v>
      </c>
      <c r="D46" s="215">
        <f t="shared" si="2"/>
        <v>0.45600000000000002</v>
      </c>
      <c r="E46" s="20">
        <v>10</v>
      </c>
      <c r="F46" s="255">
        <f t="shared" si="1"/>
        <v>4.5600000000000005</v>
      </c>
      <c r="G46" s="20"/>
      <c r="H46" s="20"/>
      <c r="I46" s="103"/>
      <c r="J46" s="216"/>
    </row>
    <row r="47" spans="1:10" x14ac:dyDescent="0.25">
      <c r="A47" s="103">
        <v>22</v>
      </c>
      <c r="B47" s="103">
        <f t="shared" si="7"/>
        <v>17</v>
      </c>
      <c r="C47" s="254">
        <f>+ALMACEN!$Z$10/33</f>
        <v>1.2E-2</v>
      </c>
      <c r="D47" s="215">
        <f t="shared" si="2"/>
        <v>0.40800000000000003</v>
      </c>
      <c r="E47" s="20">
        <v>6</v>
      </c>
      <c r="F47" s="255">
        <f t="shared" si="1"/>
        <v>2.4480000000000004</v>
      </c>
      <c r="G47" s="20">
        <v>4</v>
      </c>
      <c r="H47" s="256">
        <f>+G47*D47</f>
        <v>1.6320000000000001</v>
      </c>
      <c r="I47" s="103"/>
      <c r="J47" s="216"/>
    </row>
    <row r="48" spans="1:10" x14ac:dyDescent="0.25">
      <c r="A48" s="103">
        <v>22</v>
      </c>
      <c r="B48" s="103">
        <f t="shared" si="7"/>
        <v>15</v>
      </c>
      <c r="C48" s="254">
        <f>+ALMACEN!$Z$10/33</f>
        <v>1.2E-2</v>
      </c>
      <c r="D48" s="215">
        <f t="shared" si="2"/>
        <v>0.36</v>
      </c>
      <c r="E48" s="20" t="s">
        <v>60</v>
      </c>
      <c r="F48" s="255" t="s">
        <v>60</v>
      </c>
      <c r="G48" s="20"/>
      <c r="H48" s="20"/>
      <c r="I48" s="103">
        <v>10</v>
      </c>
      <c r="J48" s="216">
        <f>+I48*D48</f>
        <v>3.5999999999999996</v>
      </c>
    </row>
    <row r="49" spans="1:10" x14ac:dyDescent="0.25">
      <c r="A49" s="103">
        <v>22</v>
      </c>
      <c r="B49" s="103">
        <f t="shared" si="7"/>
        <v>13</v>
      </c>
      <c r="C49" s="254">
        <f>+ALMACEN!$Z$10/33</f>
        <v>1.2E-2</v>
      </c>
      <c r="D49" s="215">
        <f t="shared" si="2"/>
        <v>0.312</v>
      </c>
      <c r="E49" s="20" t="s">
        <v>60</v>
      </c>
      <c r="F49" s="255" t="s">
        <v>60</v>
      </c>
      <c r="G49" s="20"/>
      <c r="H49" s="20"/>
      <c r="I49" s="103">
        <v>10</v>
      </c>
      <c r="J49" s="216">
        <f>+I49*D49</f>
        <v>3.12</v>
      </c>
    </row>
    <row r="50" spans="1:10" x14ac:dyDescent="0.25">
      <c r="A50" s="103">
        <v>23</v>
      </c>
      <c r="B50" s="103">
        <v>31</v>
      </c>
      <c r="C50" s="254">
        <f>+ALMACEN!$Z$10/33</f>
        <v>1.2E-2</v>
      </c>
      <c r="D50" s="215">
        <f t="shared" si="2"/>
        <v>0.74399999999999999</v>
      </c>
      <c r="E50" s="20">
        <v>10</v>
      </c>
      <c r="F50" s="255">
        <f t="shared" si="1"/>
        <v>7.4399999999999995</v>
      </c>
      <c r="G50" s="20"/>
      <c r="H50" s="20"/>
      <c r="I50" s="103"/>
      <c r="J50" s="216"/>
    </row>
    <row r="51" spans="1:10" x14ac:dyDescent="0.25">
      <c r="A51" s="103">
        <v>23</v>
      </c>
      <c r="B51" s="103">
        <f>+B50-2</f>
        <v>29</v>
      </c>
      <c r="C51" s="254">
        <f>+ALMACEN!$Z$10/33</f>
        <v>1.2E-2</v>
      </c>
      <c r="D51" s="215">
        <f t="shared" si="2"/>
        <v>0.69600000000000006</v>
      </c>
      <c r="E51" s="20">
        <v>6</v>
      </c>
      <c r="F51" s="255">
        <f t="shared" si="1"/>
        <v>4.1760000000000002</v>
      </c>
      <c r="G51" s="20">
        <v>4</v>
      </c>
      <c r="H51" s="256">
        <f>+G51*D51</f>
        <v>2.7840000000000003</v>
      </c>
      <c r="I51" s="103"/>
      <c r="J51" s="216"/>
    </row>
    <row r="52" spans="1:10" x14ac:dyDescent="0.25">
      <c r="A52" s="103">
        <v>23</v>
      </c>
      <c r="B52" s="103">
        <f>+B51-2</f>
        <v>27</v>
      </c>
      <c r="C52" s="254">
        <f>+ALMACEN!$Z$10/33</f>
        <v>1.2E-2</v>
      </c>
      <c r="D52" s="215">
        <f t="shared" si="2"/>
        <v>0.64800000000000002</v>
      </c>
      <c r="E52" s="20" t="s">
        <v>60</v>
      </c>
      <c r="F52" s="255" t="s">
        <v>60</v>
      </c>
      <c r="G52" s="20">
        <v>1</v>
      </c>
      <c r="H52" s="256">
        <f>+G52*D52</f>
        <v>0.64800000000000002</v>
      </c>
      <c r="I52" s="103">
        <v>9</v>
      </c>
      <c r="J52" s="216">
        <f>+I52*D52</f>
        <v>5.8319999999999999</v>
      </c>
    </row>
    <row r="53" spans="1:10" x14ac:dyDescent="0.25">
      <c r="A53" s="103">
        <v>23</v>
      </c>
      <c r="B53" s="103">
        <f>+B52-2</f>
        <v>25</v>
      </c>
      <c r="C53" s="254">
        <f>+ALMACEN!$Z$10/33</f>
        <v>1.2E-2</v>
      </c>
      <c r="D53" s="215">
        <f t="shared" si="2"/>
        <v>0.6</v>
      </c>
      <c r="E53" s="20" t="s">
        <v>60</v>
      </c>
      <c r="F53" s="255" t="s">
        <v>60</v>
      </c>
      <c r="G53" s="20"/>
      <c r="H53" s="20"/>
      <c r="I53" s="103">
        <v>10</v>
      </c>
      <c r="J53" s="216">
        <f>+I53*D53</f>
        <v>6</v>
      </c>
    </row>
    <row r="54" spans="1:10" x14ac:dyDescent="0.25">
      <c r="A54" s="103">
        <v>23</v>
      </c>
      <c r="B54" s="103">
        <f t="shared" ref="B54:B77" si="8">+B53-2</f>
        <v>23</v>
      </c>
      <c r="C54" s="254">
        <f>+ALMACEN!$Z$10/33</f>
        <v>1.2E-2</v>
      </c>
      <c r="D54" s="215">
        <f t="shared" si="2"/>
        <v>0.55200000000000005</v>
      </c>
      <c r="E54" s="20" t="s">
        <v>60</v>
      </c>
      <c r="F54" s="255" t="s">
        <v>60</v>
      </c>
      <c r="G54" s="20"/>
      <c r="H54" s="20"/>
      <c r="I54" s="103">
        <v>4</v>
      </c>
      <c r="J54" s="216">
        <f>+I54*D54</f>
        <v>2.2080000000000002</v>
      </c>
    </row>
    <row r="55" spans="1:10" x14ac:dyDescent="0.25">
      <c r="A55" s="103">
        <v>24</v>
      </c>
      <c r="B55" s="103">
        <f t="shared" si="8"/>
        <v>21</v>
      </c>
      <c r="C55" s="254">
        <f>+ALMACEN!$Z$10/33</f>
        <v>1.2E-2</v>
      </c>
      <c r="D55" s="215">
        <f t="shared" si="2"/>
        <v>0.504</v>
      </c>
      <c r="E55" s="20">
        <v>10</v>
      </c>
      <c r="F55" s="255">
        <f t="shared" si="1"/>
        <v>5.04</v>
      </c>
      <c r="G55" s="20"/>
      <c r="H55" s="20"/>
      <c r="I55" s="103"/>
      <c r="J55" s="216"/>
    </row>
    <row r="56" spans="1:10" x14ac:dyDescent="0.25">
      <c r="A56" s="103">
        <v>24</v>
      </c>
      <c r="B56" s="103">
        <f t="shared" si="8"/>
        <v>19</v>
      </c>
      <c r="C56" s="254">
        <f>+ALMACEN!$Z$10/33</f>
        <v>1.2E-2</v>
      </c>
      <c r="D56" s="215">
        <f t="shared" si="2"/>
        <v>0.45600000000000002</v>
      </c>
      <c r="E56" s="20">
        <v>10</v>
      </c>
      <c r="F56" s="255">
        <f t="shared" si="1"/>
        <v>4.5600000000000005</v>
      </c>
      <c r="G56" s="20"/>
      <c r="H56" s="20"/>
      <c r="I56" s="103"/>
      <c r="J56" s="216"/>
    </row>
    <row r="57" spans="1:10" x14ac:dyDescent="0.25">
      <c r="A57" s="103">
        <v>24</v>
      </c>
      <c r="B57" s="103">
        <f t="shared" si="8"/>
        <v>17</v>
      </c>
      <c r="C57" s="254">
        <f>+ALMACEN!$Z$10/33</f>
        <v>1.2E-2</v>
      </c>
      <c r="D57" s="215">
        <f t="shared" si="2"/>
        <v>0.40800000000000003</v>
      </c>
      <c r="E57" s="20">
        <v>10</v>
      </c>
      <c r="F57" s="255">
        <f t="shared" si="1"/>
        <v>4.08</v>
      </c>
      <c r="G57" s="20"/>
      <c r="H57" s="20"/>
      <c r="I57" s="103"/>
      <c r="J57" s="216"/>
    </row>
    <row r="58" spans="1:10" x14ac:dyDescent="0.25">
      <c r="A58" s="103">
        <v>24</v>
      </c>
      <c r="B58" s="103">
        <f t="shared" si="8"/>
        <v>15</v>
      </c>
      <c r="C58" s="254">
        <f>+ALMACEN!$Z$10/33</f>
        <v>1.2E-2</v>
      </c>
      <c r="D58" s="215">
        <f t="shared" si="2"/>
        <v>0.36</v>
      </c>
      <c r="E58" s="20">
        <v>10</v>
      </c>
      <c r="F58" s="255">
        <f t="shared" si="1"/>
        <v>3.5999999999999996</v>
      </c>
      <c r="G58" s="20"/>
      <c r="H58" s="20"/>
      <c r="I58" s="103"/>
      <c r="J58" s="216"/>
    </row>
    <row r="59" spans="1:10" x14ac:dyDescent="0.25">
      <c r="A59" s="103">
        <v>24</v>
      </c>
      <c r="B59" s="103">
        <f t="shared" si="8"/>
        <v>13</v>
      </c>
      <c r="C59" s="254">
        <f>+ALMACEN!$Z$10/33</f>
        <v>1.2E-2</v>
      </c>
      <c r="D59" s="215">
        <f t="shared" si="2"/>
        <v>0.312</v>
      </c>
      <c r="E59" s="20" t="s">
        <v>60</v>
      </c>
      <c r="F59" s="255" t="s">
        <v>60</v>
      </c>
      <c r="G59" s="20">
        <v>10</v>
      </c>
      <c r="H59" s="256">
        <f>+G59*D59</f>
        <v>3.12</v>
      </c>
      <c r="I59" s="103"/>
      <c r="J59" s="216"/>
    </row>
    <row r="60" spans="1:10" x14ac:dyDescent="0.25">
      <c r="A60" s="103">
        <v>24</v>
      </c>
      <c r="B60" s="103">
        <v>9</v>
      </c>
      <c r="C60" s="254">
        <f>+ALMACEN!$Z$10/33</f>
        <v>1.2E-2</v>
      </c>
      <c r="D60" s="215">
        <f t="shared" si="2"/>
        <v>0.216</v>
      </c>
      <c r="E60" s="20" t="s">
        <v>60</v>
      </c>
      <c r="F60" s="255" t="s">
        <v>60</v>
      </c>
      <c r="G60" s="20">
        <v>1</v>
      </c>
      <c r="H60" s="256">
        <f>+G60*D60</f>
        <v>0.216</v>
      </c>
      <c r="I60" s="103">
        <v>9</v>
      </c>
      <c r="J60" s="216">
        <f>+I60*D60</f>
        <v>1.944</v>
      </c>
    </row>
    <row r="61" spans="1:10" s="11" customFormat="1" x14ac:dyDescent="0.25">
      <c r="A61" s="103">
        <v>24</v>
      </c>
      <c r="B61" s="103">
        <v>7</v>
      </c>
      <c r="C61" s="254">
        <f>+ALMACEN!$Z$10/33</f>
        <v>1.2E-2</v>
      </c>
      <c r="D61" s="215">
        <f t="shared" si="2"/>
        <v>0.16800000000000001</v>
      </c>
      <c r="E61" s="20"/>
      <c r="F61" s="255"/>
      <c r="G61" s="20"/>
      <c r="H61" s="256"/>
      <c r="I61" s="103">
        <v>10</v>
      </c>
      <c r="J61" s="216">
        <f>+I61*D61</f>
        <v>1.6800000000000002</v>
      </c>
    </row>
    <row r="62" spans="1:10" s="11" customFormat="1" x14ac:dyDescent="0.25">
      <c r="A62" s="103">
        <v>24</v>
      </c>
      <c r="B62" s="103">
        <v>5</v>
      </c>
      <c r="C62" s="254">
        <f>+ALMACEN!$Z$10/33</f>
        <v>1.2E-2</v>
      </c>
      <c r="D62" s="215">
        <f t="shared" si="2"/>
        <v>0.12</v>
      </c>
      <c r="E62" s="20"/>
      <c r="F62" s="255"/>
      <c r="G62" s="20"/>
      <c r="H62" s="256"/>
      <c r="I62" s="103">
        <v>10</v>
      </c>
      <c r="J62" s="216">
        <f>+I62*D62</f>
        <v>1.2</v>
      </c>
    </row>
    <row r="63" spans="1:10" x14ac:dyDescent="0.25">
      <c r="A63" s="103">
        <v>25</v>
      </c>
      <c r="B63" s="103">
        <f>+B60-2</f>
        <v>7</v>
      </c>
      <c r="C63" s="254">
        <f>+ALMACEN!$Z$10/33</f>
        <v>1.2E-2</v>
      </c>
      <c r="D63" s="215">
        <f t="shared" si="2"/>
        <v>0.16800000000000001</v>
      </c>
      <c r="E63" s="20">
        <v>10</v>
      </c>
      <c r="F63" s="255">
        <f t="shared" si="1"/>
        <v>1.6800000000000002</v>
      </c>
      <c r="G63" s="20"/>
      <c r="H63" s="20"/>
      <c r="I63" s="103"/>
      <c r="J63" s="216"/>
    </row>
    <row r="64" spans="1:10" x14ac:dyDescent="0.25">
      <c r="A64" s="103">
        <v>25</v>
      </c>
      <c r="B64" s="103">
        <v>11</v>
      </c>
      <c r="C64" s="254">
        <f>+ALMACEN!$Z$10/33</f>
        <v>1.2E-2</v>
      </c>
      <c r="D64" s="215">
        <f t="shared" si="2"/>
        <v>0.26400000000000001</v>
      </c>
      <c r="E64" s="20">
        <v>2</v>
      </c>
      <c r="F64" s="255">
        <f t="shared" si="1"/>
        <v>0.52800000000000002</v>
      </c>
      <c r="G64" s="20">
        <v>3</v>
      </c>
      <c r="H64" s="256">
        <f>+G64*D64</f>
        <v>0.79200000000000004</v>
      </c>
      <c r="I64" s="103">
        <v>5</v>
      </c>
      <c r="J64" s="216">
        <f>+I64*D64</f>
        <v>1.32</v>
      </c>
    </row>
    <row r="65" spans="1:10" x14ac:dyDescent="0.25">
      <c r="A65" s="103">
        <v>25</v>
      </c>
      <c r="B65" s="103">
        <f t="shared" si="8"/>
        <v>9</v>
      </c>
      <c r="C65" s="254">
        <f>+ALMACEN!$Z$10/33</f>
        <v>1.2E-2</v>
      </c>
      <c r="D65" s="215">
        <f t="shared" si="2"/>
        <v>0.216</v>
      </c>
      <c r="E65" s="20" t="s">
        <v>60</v>
      </c>
      <c r="F65" s="255" t="s">
        <v>60</v>
      </c>
      <c r="G65" s="20"/>
      <c r="H65" s="20"/>
      <c r="I65" s="103">
        <v>10</v>
      </c>
      <c r="J65" s="216">
        <f>+I65*D65</f>
        <v>2.16</v>
      </c>
    </row>
    <row r="66" spans="1:10" x14ac:dyDescent="0.25">
      <c r="A66" s="103">
        <v>25</v>
      </c>
      <c r="B66" s="103">
        <f t="shared" si="8"/>
        <v>7</v>
      </c>
      <c r="C66" s="254">
        <f>+ALMACEN!$Z$10/33</f>
        <v>1.2E-2</v>
      </c>
      <c r="D66" s="215">
        <f t="shared" si="2"/>
        <v>0.16800000000000001</v>
      </c>
      <c r="E66" s="20" t="s">
        <v>60</v>
      </c>
      <c r="F66" s="255" t="s">
        <v>60</v>
      </c>
      <c r="G66" s="20"/>
      <c r="H66" s="20"/>
      <c r="I66" s="103">
        <v>6</v>
      </c>
      <c r="J66" s="216">
        <f>+I66*D66</f>
        <v>1.008</v>
      </c>
    </row>
    <row r="67" spans="1:10" x14ac:dyDescent="0.25">
      <c r="A67" s="103">
        <v>26</v>
      </c>
      <c r="B67" s="103">
        <v>33</v>
      </c>
      <c r="C67" s="254">
        <f>+ALMACEN!$Z$10/33</f>
        <v>1.2E-2</v>
      </c>
      <c r="D67" s="215">
        <f t="shared" si="2"/>
        <v>0.79200000000000004</v>
      </c>
      <c r="E67" s="20">
        <v>10</v>
      </c>
      <c r="F67" s="255">
        <f t="shared" si="1"/>
        <v>7.92</v>
      </c>
      <c r="G67" s="20"/>
      <c r="H67" s="20"/>
      <c r="I67" s="103"/>
      <c r="J67" s="216"/>
    </row>
    <row r="68" spans="1:10" x14ac:dyDescent="0.25">
      <c r="A68" s="103">
        <v>26</v>
      </c>
      <c r="B68" s="103">
        <f t="shared" si="8"/>
        <v>31</v>
      </c>
      <c r="C68" s="254">
        <f>+ALMACEN!$Z$10/33</f>
        <v>1.2E-2</v>
      </c>
      <c r="D68" s="215">
        <f t="shared" si="2"/>
        <v>0.74399999999999999</v>
      </c>
      <c r="E68" s="20">
        <v>10</v>
      </c>
      <c r="F68" s="255">
        <f t="shared" si="1"/>
        <v>7.4399999999999995</v>
      </c>
      <c r="G68" s="20"/>
      <c r="H68" s="20"/>
      <c r="I68" s="103"/>
      <c r="J68" s="216"/>
    </row>
    <row r="69" spans="1:10" x14ac:dyDescent="0.25">
      <c r="A69" s="103">
        <v>26</v>
      </c>
      <c r="B69" s="103">
        <f t="shared" si="8"/>
        <v>29</v>
      </c>
      <c r="C69" s="254">
        <f>+ALMACEN!$Z$10/33</f>
        <v>1.2E-2</v>
      </c>
      <c r="D69" s="215">
        <f t="shared" ref="D69:D132" si="9">(+C69*B69)*2</f>
        <v>0.69600000000000006</v>
      </c>
      <c r="E69" s="20">
        <v>10</v>
      </c>
      <c r="F69" s="255">
        <f t="shared" ref="F69:F132" si="10">+E69*D69</f>
        <v>6.9600000000000009</v>
      </c>
      <c r="G69" s="20"/>
      <c r="H69" s="20"/>
      <c r="I69" s="103"/>
      <c r="J69" s="216"/>
    </row>
    <row r="70" spans="1:10" x14ac:dyDescent="0.25">
      <c r="A70" s="103">
        <v>26</v>
      </c>
      <c r="B70" s="103">
        <f t="shared" si="8"/>
        <v>27</v>
      </c>
      <c r="C70" s="254">
        <f>+ALMACEN!$Z$10/33</f>
        <v>1.2E-2</v>
      </c>
      <c r="D70" s="215">
        <f t="shared" si="9"/>
        <v>0.64800000000000002</v>
      </c>
      <c r="E70" s="20">
        <v>1</v>
      </c>
      <c r="F70" s="255">
        <f t="shared" si="10"/>
        <v>0.64800000000000002</v>
      </c>
      <c r="G70" s="20">
        <v>9</v>
      </c>
      <c r="H70" s="256">
        <f>+G70*D70</f>
        <v>5.8319999999999999</v>
      </c>
      <c r="I70" s="103"/>
      <c r="J70" s="216"/>
    </row>
    <row r="71" spans="1:10" x14ac:dyDescent="0.25">
      <c r="A71" s="103">
        <v>26</v>
      </c>
      <c r="B71" s="103">
        <f t="shared" si="8"/>
        <v>25</v>
      </c>
      <c r="C71" s="254">
        <f>+ALMACEN!$Z$10/33</f>
        <v>1.2E-2</v>
      </c>
      <c r="D71" s="215">
        <f t="shared" si="9"/>
        <v>0.6</v>
      </c>
      <c r="E71" s="20" t="s">
        <v>60</v>
      </c>
      <c r="F71" s="255" t="s">
        <v>60</v>
      </c>
      <c r="G71" s="20"/>
      <c r="H71" s="20"/>
      <c r="I71" s="103">
        <v>10</v>
      </c>
      <c r="J71" s="216">
        <f>+I71*D71</f>
        <v>6</v>
      </c>
    </row>
    <row r="72" spans="1:10" x14ac:dyDescent="0.25">
      <c r="A72" s="103">
        <v>26</v>
      </c>
      <c r="B72" s="103">
        <f t="shared" si="8"/>
        <v>23</v>
      </c>
      <c r="C72" s="254">
        <f>+ALMACEN!$Z$10/33</f>
        <v>1.2E-2</v>
      </c>
      <c r="D72" s="215">
        <f t="shared" si="9"/>
        <v>0.55200000000000005</v>
      </c>
      <c r="E72" s="20" t="s">
        <v>60</v>
      </c>
      <c r="F72" s="255" t="s">
        <v>60</v>
      </c>
      <c r="G72" s="20"/>
      <c r="H72" s="20"/>
      <c r="I72" s="103">
        <v>10</v>
      </c>
      <c r="J72" s="216">
        <f>+I72*D72</f>
        <v>5.5200000000000005</v>
      </c>
    </row>
    <row r="73" spans="1:10" x14ac:dyDescent="0.25">
      <c r="A73" s="103">
        <v>26</v>
      </c>
      <c r="B73" s="103">
        <f t="shared" si="8"/>
        <v>21</v>
      </c>
      <c r="C73" s="254">
        <f>+ALMACEN!$Z$10/33</f>
        <v>1.2E-2</v>
      </c>
      <c r="D73" s="215">
        <f t="shared" si="9"/>
        <v>0.504</v>
      </c>
      <c r="E73" s="20" t="s">
        <v>60</v>
      </c>
      <c r="F73" s="255" t="s">
        <v>60</v>
      </c>
      <c r="G73" s="20"/>
      <c r="H73" s="20"/>
      <c r="I73" s="103">
        <v>8</v>
      </c>
      <c r="J73" s="216">
        <f>+I73*D73</f>
        <v>4.032</v>
      </c>
    </row>
    <row r="74" spans="1:10" x14ac:dyDescent="0.25">
      <c r="A74" s="103">
        <v>27</v>
      </c>
      <c r="B74" s="103">
        <f t="shared" si="8"/>
        <v>19</v>
      </c>
      <c r="C74" s="254">
        <f>+ALMACEN!$Z$10/33</f>
        <v>1.2E-2</v>
      </c>
      <c r="D74" s="215">
        <f t="shared" si="9"/>
        <v>0.45600000000000002</v>
      </c>
      <c r="E74" s="20">
        <v>10</v>
      </c>
      <c r="F74" s="255">
        <f t="shared" si="10"/>
        <v>4.5600000000000005</v>
      </c>
      <c r="G74" s="20"/>
      <c r="H74" s="20"/>
      <c r="I74" s="103"/>
      <c r="J74" s="216"/>
    </row>
    <row r="75" spans="1:10" x14ac:dyDescent="0.25">
      <c r="A75" s="103">
        <v>27</v>
      </c>
      <c r="B75" s="103">
        <f t="shared" si="8"/>
        <v>17</v>
      </c>
      <c r="C75" s="254">
        <f>+ALMACEN!$Z$10/33</f>
        <v>1.2E-2</v>
      </c>
      <c r="D75" s="215">
        <f t="shared" si="9"/>
        <v>0.40800000000000003</v>
      </c>
      <c r="E75" s="20" t="s">
        <v>60</v>
      </c>
      <c r="F75" s="255" t="s">
        <v>60</v>
      </c>
      <c r="G75" s="20">
        <v>3</v>
      </c>
      <c r="H75" s="256">
        <f>+G75*D75</f>
        <v>1.2240000000000002</v>
      </c>
      <c r="I75" s="103">
        <v>7</v>
      </c>
      <c r="J75" s="216">
        <f t="shared" ref="J75:J78" si="11">+I75*D75</f>
        <v>2.8560000000000003</v>
      </c>
    </row>
    <row r="76" spans="1:10" x14ac:dyDescent="0.25">
      <c r="A76" s="103">
        <v>27</v>
      </c>
      <c r="B76" s="103">
        <f t="shared" si="8"/>
        <v>15</v>
      </c>
      <c r="C76" s="254">
        <f>+ALMACEN!$Z$10/33</f>
        <v>1.2E-2</v>
      </c>
      <c r="D76" s="215">
        <f t="shared" si="9"/>
        <v>0.36</v>
      </c>
      <c r="E76" s="20" t="s">
        <v>60</v>
      </c>
      <c r="F76" s="255" t="s">
        <v>60</v>
      </c>
      <c r="G76" s="20"/>
      <c r="H76" s="20"/>
      <c r="I76" s="103">
        <v>10</v>
      </c>
      <c r="J76" s="216">
        <f t="shared" si="11"/>
        <v>3.5999999999999996</v>
      </c>
    </row>
    <row r="77" spans="1:10" x14ac:dyDescent="0.25">
      <c r="A77" s="103">
        <v>27</v>
      </c>
      <c r="B77" s="103">
        <f t="shared" si="8"/>
        <v>13</v>
      </c>
      <c r="C77" s="254">
        <f>+ALMACEN!$Z$10/33</f>
        <v>1.2E-2</v>
      </c>
      <c r="D77" s="215">
        <f t="shared" si="9"/>
        <v>0.312</v>
      </c>
      <c r="E77" s="20" t="s">
        <v>60</v>
      </c>
      <c r="F77" s="255" t="s">
        <v>60</v>
      </c>
      <c r="G77" s="20"/>
      <c r="H77" s="20"/>
      <c r="I77" s="103">
        <v>4</v>
      </c>
      <c r="J77" s="216">
        <f t="shared" si="11"/>
        <v>1.248</v>
      </c>
    </row>
    <row r="78" spans="1:10" x14ac:dyDescent="0.25">
      <c r="A78" s="103">
        <v>28</v>
      </c>
      <c r="B78" s="103">
        <v>7</v>
      </c>
      <c r="C78" s="254">
        <f>+ALMACEN!$Z$10/33</f>
        <v>1.2E-2</v>
      </c>
      <c r="D78" s="215">
        <f t="shared" si="9"/>
        <v>0.16800000000000001</v>
      </c>
      <c r="E78" s="20">
        <v>4</v>
      </c>
      <c r="F78" s="255">
        <f t="shared" si="10"/>
        <v>0.67200000000000004</v>
      </c>
      <c r="G78" s="20">
        <v>1</v>
      </c>
      <c r="H78" s="256">
        <f>+G78*D78</f>
        <v>0.16800000000000001</v>
      </c>
      <c r="I78" s="103">
        <v>4</v>
      </c>
      <c r="J78" s="216">
        <f t="shared" si="11"/>
        <v>0.67200000000000004</v>
      </c>
    </row>
    <row r="79" spans="1:10" x14ac:dyDescent="0.25">
      <c r="A79" s="103">
        <v>29</v>
      </c>
      <c r="B79" s="103">
        <v>33</v>
      </c>
      <c r="C79" s="254">
        <f>+ALMACEN!$Z$10/33</f>
        <v>1.2E-2</v>
      </c>
      <c r="D79" s="215">
        <f t="shared" si="9"/>
        <v>0.79200000000000004</v>
      </c>
      <c r="E79" s="20">
        <v>10</v>
      </c>
      <c r="F79" s="255">
        <f t="shared" si="10"/>
        <v>7.92</v>
      </c>
      <c r="G79" s="20"/>
      <c r="H79" s="20"/>
      <c r="I79" s="103"/>
      <c r="J79" s="216"/>
    </row>
    <row r="80" spans="1:10" x14ac:dyDescent="0.25">
      <c r="A80" s="103">
        <v>29</v>
      </c>
      <c r="B80" s="103">
        <f>+B79-2</f>
        <v>31</v>
      </c>
      <c r="C80" s="254">
        <f>+ALMACEN!$Z$10/33</f>
        <v>1.2E-2</v>
      </c>
      <c r="D80" s="215">
        <f t="shared" si="9"/>
        <v>0.74399999999999999</v>
      </c>
      <c r="E80" s="20">
        <v>1</v>
      </c>
      <c r="F80" s="255">
        <f t="shared" si="10"/>
        <v>0.74399999999999999</v>
      </c>
      <c r="G80" s="20">
        <v>3</v>
      </c>
      <c r="H80" s="256">
        <f>+G80*D80</f>
        <v>2.2320000000000002</v>
      </c>
      <c r="I80" s="103">
        <v>6</v>
      </c>
      <c r="J80" s="216">
        <f t="shared" ref="J80:J85" si="12">+I80*D80</f>
        <v>4.4640000000000004</v>
      </c>
    </row>
    <row r="81" spans="1:10" x14ac:dyDescent="0.25">
      <c r="A81" s="103">
        <v>29</v>
      </c>
      <c r="B81" s="103">
        <f t="shared" ref="B81:B91" si="13">+B80-2</f>
        <v>29</v>
      </c>
      <c r="C81" s="254">
        <f>+ALMACEN!$Z$10/33</f>
        <v>1.2E-2</v>
      </c>
      <c r="D81" s="215">
        <f t="shared" si="9"/>
        <v>0.69600000000000006</v>
      </c>
      <c r="E81" s="20" t="s">
        <v>60</v>
      </c>
      <c r="F81" s="255" t="s">
        <v>60</v>
      </c>
      <c r="G81" s="20"/>
      <c r="H81" s="20"/>
      <c r="I81" s="103">
        <v>10</v>
      </c>
      <c r="J81" s="216">
        <f t="shared" si="12"/>
        <v>6.9600000000000009</v>
      </c>
    </row>
    <row r="82" spans="1:10" x14ac:dyDescent="0.25">
      <c r="A82" s="103">
        <v>30</v>
      </c>
      <c r="B82" s="103">
        <f t="shared" si="13"/>
        <v>27</v>
      </c>
      <c r="C82" s="254">
        <f>+ALMACEN!$Z$10/33</f>
        <v>1.2E-2</v>
      </c>
      <c r="D82" s="215">
        <f t="shared" si="9"/>
        <v>0.64800000000000002</v>
      </c>
      <c r="E82" s="20">
        <v>5</v>
      </c>
      <c r="F82" s="255">
        <f t="shared" si="10"/>
        <v>3.24</v>
      </c>
      <c r="G82" s="20">
        <v>2</v>
      </c>
      <c r="H82" s="256">
        <f>+G82*D82</f>
        <v>1.296</v>
      </c>
      <c r="I82" s="103">
        <v>3</v>
      </c>
      <c r="J82" s="216">
        <f t="shared" si="12"/>
        <v>1.944</v>
      </c>
    </row>
    <row r="83" spans="1:10" x14ac:dyDescent="0.25">
      <c r="A83" s="103">
        <v>30</v>
      </c>
      <c r="B83" s="103">
        <f t="shared" si="13"/>
        <v>25</v>
      </c>
      <c r="C83" s="254">
        <f>+ALMACEN!$Z$10/33</f>
        <v>1.2E-2</v>
      </c>
      <c r="D83" s="215">
        <f t="shared" si="9"/>
        <v>0.6</v>
      </c>
      <c r="E83" s="20" t="s">
        <v>60</v>
      </c>
      <c r="F83" s="255" t="s">
        <v>60</v>
      </c>
      <c r="G83" s="20"/>
      <c r="H83" s="20"/>
      <c r="I83" s="103">
        <v>4</v>
      </c>
      <c r="J83" s="216">
        <f t="shared" si="12"/>
        <v>2.4</v>
      </c>
    </row>
    <row r="84" spans="1:10" x14ac:dyDescent="0.25">
      <c r="A84" s="103">
        <v>31</v>
      </c>
      <c r="B84" s="103">
        <f t="shared" si="13"/>
        <v>23</v>
      </c>
      <c r="C84" s="254">
        <f>+ALMACEN!$Z$10/33</f>
        <v>1.2E-2</v>
      </c>
      <c r="D84" s="215">
        <f t="shared" si="9"/>
        <v>0.55200000000000005</v>
      </c>
      <c r="E84" s="20">
        <v>6</v>
      </c>
      <c r="F84" s="255">
        <f t="shared" si="10"/>
        <v>3.3120000000000003</v>
      </c>
      <c r="G84" s="20">
        <v>2</v>
      </c>
      <c r="H84" s="256">
        <f>+G84*D84</f>
        <v>1.1040000000000001</v>
      </c>
      <c r="I84" s="103">
        <v>2</v>
      </c>
      <c r="J84" s="216">
        <f t="shared" si="12"/>
        <v>1.1040000000000001</v>
      </c>
    </row>
    <row r="85" spans="1:10" x14ac:dyDescent="0.25">
      <c r="A85" s="103">
        <v>31</v>
      </c>
      <c r="B85" s="103">
        <f t="shared" si="13"/>
        <v>21</v>
      </c>
      <c r="C85" s="254">
        <f>+ALMACEN!$Z$10/33</f>
        <v>1.2E-2</v>
      </c>
      <c r="D85" s="215">
        <f t="shared" si="9"/>
        <v>0.504</v>
      </c>
      <c r="E85" s="20" t="s">
        <v>60</v>
      </c>
      <c r="F85" s="255" t="s">
        <v>60</v>
      </c>
      <c r="G85" s="20"/>
      <c r="H85" s="20"/>
      <c r="I85" s="103">
        <v>6</v>
      </c>
      <c r="J85" s="216">
        <f t="shared" si="12"/>
        <v>3.024</v>
      </c>
    </row>
    <row r="86" spans="1:10" x14ac:dyDescent="0.25">
      <c r="A86" s="103">
        <v>32</v>
      </c>
      <c r="B86" s="103">
        <f t="shared" si="13"/>
        <v>19</v>
      </c>
      <c r="C86" s="254">
        <f>+ALMACEN!$Z$10/33</f>
        <v>1.2E-2</v>
      </c>
      <c r="D86" s="215">
        <f t="shared" si="9"/>
        <v>0.45600000000000002</v>
      </c>
      <c r="E86" s="20">
        <v>10</v>
      </c>
      <c r="F86" s="255">
        <f t="shared" si="10"/>
        <v>4.5600000000000005</v>
      </c>
      <c r="G86" s="20"/>
      <c r="H86" s="20"/>
      <c r="I86" s="103"/>
      <c r="J86" s="216"/>
    </row>
    <row r="87" spans="1:10" x14ac:dyDescent="0.25">
      <c r="A87" s="103">
        <v>32</v>
      </c>
      <c r="B87" s="103">
        <f t="shared" si="13"/>
        <v>17</v>
      </c>
      <c r="C87" s="254">
        <f>+ALMACEN!$Z$10/33</f>
        <v>1.2E-2</v>
      </c>
      <c r="D87" s="215">
        <f t="shared" si="9"/>
        <v>0.40800000000000003</v>
      </c>
      <c r="E87" s="20">
        <v>6</v>
      </c>
      <c r="F87" s="255">
        <f t="shared" si="10"/>
        <v>2.4480000000000004</v>
      </c>
      <c r="G87" s="20">
        <v>4</v>
      </c>
      <c r="H87" s="256">
        <f>+G87*D87</f>
        <v>1.6320000000000001</v>
      </c>
      <c r="I87" s="103"/>
      <c r="J87" s="216"/>
    </row>
    <row r="88" spans="1:10" x14ac:dyDescent="0.25">
      <c r="A88" s="103">
        <v>32</v>
      </c>
      <c r="B88" s="103">
        <f t="shared" si="13"/>
        <v>15</v>
      </c>
      <c r="C88" s="254">
        <f>+ALMACEN!$Z$10/33</f>
        <v>1.2E-2</v>
      </c>
      <c r="D88" s="215">
        <f t="shared" si="9"/>
        <v>0.36</v>
      </c>
      <c r="E88" s="20" t="s">
        <v>60</v>
      </c>
      <c r="F88" s="255" t="s">
        <v>60</v>
      </c>
      <c r="G88" s="20">
        <v>1</v>
      </c>
      <c r="H88" s="256">
        <f>+G88*D88</f>
        <v>0.36</v>
      </c>
      <c r="I88" s="103">
        <v>9</v>
      </c>
      <c r="J88" s="216">
        <f t="shared" ref="J88:J91" si="14">+I88*D88</f>
        <v>3.2399999999999998</v>
      </c>
    </row>
    <row r="89" spans="1:10" x14ac:dyDescent="0.25">
      <c r="A89" s="103">
        <v>32</v>
      </c>
      <c r="B89" s="103">
        <f t="shared" si="13"/>
        <v>13</v>
      </c>
      <c r="C89" s="254">
        <f>+ALMACEN!$Z$10/33</f>
        <v>1.2E-2</v>
      </c>
      <c r="D89" s="215">
        <f t="shared" si="9"/>
        <v>0.312</v>
      </c>
      <c r="E89" s="20" t="s">
        <v>60</v>
      </c>
      <c r="F89" s="255" t="s">
        <v>60</v>
      </c>
      <c r="G89" s="20"/>
      <c r="H89" s="20"/>
      <c r="I89" s="103">
        <v>10</v>
      </c>
      <c r="J89" s="216">
        <f t="shared" si="14"/>
        <v>3.12</v>
      </c>
    </row>
    <row r="90" spans="1:10" x14ac:dyDescent="0.25">
      <c r="A90" s="103">
        <v>32</v>
      </c>
      <c r="B90" s="103">
        <f t="shared" si="13"/>
        <v>11</v>
      </c>
      <c r="C90" s="254">
        <f>+ALMACEN!$Z$10/33</f>
        <v>1.2E-2</v>
      </c>
      <c r="D90" s="215">
        <f t="shared" si="9"/>
        <v>0.26400000000000001</v>
      </c>
      <c r="E90" s="20" t="s">
        <v>60</v>
      </c>
      <c r="F90" s="255" t="s">
        <v>60</v>
      </c>
      <c r="G90" s="20"/>
      <c r="H90" s="20"/>
      <c r="I90" s="103">
        <v>10</v>
      </c>
      <c r="J90" s="216">
        <f t="shared" si="14"/>
        <v>2.64</v>
      </c>
    </row>
    <row r="91" spans="1:10" x14ac:dyDescent="0.25">
      <c r="A91" s="103">
        <v>32</v>
      </c>
      <c r="B91" s="103">
        <f t="shared" si="13"/>
        <v>9</v>
      </c>
      <c r="C91" s="254">
        <f>+ALMACEN!$Z$10/33</f>
        <v>1.2E-2</v>
      </c>
      <c r="D91" s="215">
        <f t="shared" si="9"/>
        <v>0.216</v>
      </c>
      <c r="E91" s="20" t="s">
        <v>60</v>
      </c>
      <c r="F91" s="255" t="s">
        <v>60</v>
      </c>
      <c r="G91" s="20"/>
      <c r="H91" s="20"/>
      <c r="I91" s="103">
        <v>9</v>
      </c>
      <c r="J91" s="216">
        <f t="shared" si="14"/>
        <v>1.944</v>
      </c>
    </row>
    <row r="92" spans="1:10" x14ac:dyDescent="0.25">
      <c r="A92" s="103">
        <v>33</v>
      </c>
      <c r="B92" s="103">
        <v>33</v>
      </c>
      <c r="C92" s="254">
        <f>+ALMACEN!$Z$10/33</f>
        <v>1.2E-2</v>
      </c>
      <c r="D92" s="215">
        <f t="shared" si="9"/>
        <v>0.79200000000000004</v>
      </c>
      <c r="E92" s="20">
        <v>10</v>
      </c>
      <c r="F92" s="255">
        <f t="shared" si="10"/>
        <v>7.92</v>
      </c>
      <c r="G92" s="20"/>
      <c r="H92" s="20"/>
      <c r="I92" s="103"/>
      <c r="J92" s="216"/>
    </row>
    <row r="93" spans="1:10" x14ac:dyDescent="0.25">
      <c r="A93" s="103">
        <v>33</v>
      </c>
      <c r="B93" s="103">
        <f>+B92-2</f>
        <v>31</v>
      </c>
      <c r="C93" s="254">
        <f>+ALMACEN!$Z$10/33</f>
        <v>1.2E-2</v>
      </c>
      <c r="D93" s="215">
        <f t="shared" si="9"/>
        <v>0.74399999999999999</v>
      </c>
      <c r="E93" s="20">
        <v>10</v>
      </c>
      <c r="F93" s="255">
        <f t="shared" si="10"/>
        <v>7.4399999999999995</v>
      </c>
      <c r="G93" s="20"/>
      <c r="H93" s="20"/>
      <c r="I93" s="103"/>
      <c r="J93" s="216"/>
    </row>
    <row r="94" spans="1:10" x14ac:dyDescent="0.25">
      <c r="A94" s="103">
        <v>33</v>
      </c>
      <c r="B94" s="103">
        <f t="shared" ref="B94:B100" si="15">+B93-2</f>
        <v>29</v>
      </c>
      <c r="C94" s="254">
        <f>+ALMACEN!$Z$10/33</f>
        <v>1.2E-2</v>
      </c>
      <c r="D94" s="215">
        <f t="shared" si="9"/>
        <v>0.69600000000000006</v>
      </c>
      <c r="E94" s="20">
        <v>10</v>
      </c>
      <c r="F94" s="255">
        <f t="shared" si="10"/>
        <v>6.9600000000000009</v>
      </c>
      <c r="G94" s="20"/>
      <c r="H94" s="20"/>
      <c r="I94" s="103"/>
      <c r="J94" s="216"/>
    </row>
    <row r="95" spans="1:10" x14ac:dyDescent="0.25">
      <c r="A95" s="103">
        <v>33</v>
      </c>
      <c r="B95" s="103">
        <f t="shared" si="15"/>
        <v>27</v>
      </c>
      <c r="C95" s="254">
        <f>+ALMACEN!$Z$10/33</f>
        <v>1.2E-2</v>
      </c>
      <c r="D95" s="215">
        <f t="shared" si="9"/>
        <v>0.64800000000000002</v>
      </c>
      <c r="E95" s="20">
        <v>10</v>
      </c>
      <c r="F95" s="255">
        <f t="shared" si="10"/>
        <v>6.48</v>
      </c>
      <c r="G95" s="20"/>
      <c r="H95" s="20"/>
      <c r="I95" s="103"/>
      <c r="J95" s="216"/>
    </row>
    <row r="96" spans="1:10" x14ac:dyDescent="0.25">
      <c r="A96" s="103">
        <v>33</v>
      </c>
      <c r="B96" s="103">
        <f t="shared" si="15"/>
        <v>25</v>
      </c>
      <c r="C96" s="254">
        <f>+ALMACEN!$Z$10/33</f>
        <v>1.2E-2</v>
      </c>
      <c r="D96" s="215">
        <f t="shared" si="9"/>
        <v>0.6</v>
      </c>
      <c r="E96" s="20">
        <v>6</v>
      </c>
      <c r="F96" s="255">
        <f t="shared" si="10"/>
        <v>3.5999999999999996</v>
      </c>
      <c r="G96" s="20">
        <v>4</v>
      </c>
      <c r="H96" s="256">
        <f>+G96*D96</f>
        <v>2.4</v>
      </c>
      <c r="I96" s="103"/>
      <c r="J96" s="216"/>
    </row>
    <row r="97" spans="1:10" x14ac:dyDescent="0.25">
      <c r="A97" s="103">
        <v>33</v>
      </c>
      <c r="B97" s="103">
        <f t="shared" si="15"/>
        <v>23</v>
      </c>
      <c r="C97" s="254">
        <f>+ALMACEN!$Z$10/33</f>
        <v>1.2E-2</v>
      </c>
      <c r="D97" s="215">
        <f t="shared" si="9"/>
        <v>0.55200000000000005</v>
      </c>
      <c r="E97" s="20" t="s">
        <v>60</v>
      </c>
      <c r="F97" s="255" t="s">
        <v>60</v>
      </c>
      <c r="G97" s="20">
        <v>8</v>
      </c>
      <c r="H97" s="256">
        <f>+G97*D97</f>
        <v>4.4160000000000004</v>
      </c>
      <c r="I97" s="103">
        <v>2</v>
      </c>
      <c r="J97" s="216">
        <f t="shared" ref="J97:J100" si="16">+I97*D97</f>
        <v>1.1040000000000001</v>
      </c>
    </row>
    <row r="98" spans="1:10" x14ac:dyDescent="0.25">
      <c r="A98" s="103">
        <v>33</v>
      </c>
      <c r="B98" s="103">
        <f t="shared" si="15"/>
        <v>21</v>
      </c>
      <c r="C98" s="254">
        <f>+ALMACEN!$Z$10/33</f>
        <v>1.2E-2</v>
      </c>
      <c r="D98" s="215">
        <f t="shared" si="9"/>
        <v>0.504</v>
      </c>
      <c r="E98" s="20" t="s">
        <v>60</v>
      </c>
      <c r="F98" s="255" t="s">
        <v>60</v>
      </c>
      <c r="G98" s="20"/>
      <c r="H98" s="20"/>
      <c r="I98" s="103">
        <v>10</v>
      </c>
      <c r="J98" s="216">
        <f t="shared" si="16"/>
        <v>5.04</v>
      </c>
    </row>
    <row r="99" spans="1:10" x14ac:dyDescent="0.25">
      <c r="A99" s="103">
        <v>33</v>
      </c>
      <c r="B99" s="103">
        <f t="shared" si="15"/>
        <v>19</v>
      </c>
      <c r="C99" s="254">
        <f>+ALMACEN!$Z$10/33</f>
        <v>1.2E-2</v>
      </c>
      <c r="D99" s="215">
        <f t="shared" si="9"/>
        <v>0.45600000000000002</v>
      </c>
      <c r="E99" s="20" t="s">
        <v>60</v>
      </c>
      <c r="F99" s="255" t="s">
        <v>60</v>
      </c>
      <c r="G99" s="20"/>
      <c r="H99" s="20"/>
      <c r="I99" s="103">
        <v>10</v>
      </c>
      <c r="J99" s="216">
        <f t="shared" si="16"/>
        <v>4.5600000000000005</v>
      </c>
    </row>
    <row r="100" spans="1:10" x14ac:dyDescent="0.25">
      <c r="A100" s="103">
        <v>33</v>
      </c>
      <c r="B100" s="103">
        <f t="shared" si="15"/>
        <v>17</v>
      </c>
      <c r="C100" s="254">
        <f>+ALMACEN!$Z$10/33</f>
        <v>1.2E-2</v>
      </c>
      <c r="D100" s="215">
        <f t="shared" si="9"/>
        <v>0.40800000000000003</v>
      </c>
      <c r="E100" s="20" t="s">
        <v>60</v>
      </c>
      <c r="F100" s="255" t="s">
        <v>60</v>
      </c>
      <c r="G100" s="20"/>
      <c r="H100" s="20"/>
      <c r="I100" s="103">
        <v>2</v>
      </c>
      <c r="J100" s="216">
        <f t="shared" si="16"/>
        <v>0.81600000000000006</v>
      </c>
    </row>
    <row r="101" spans="1:10" x14ac:dyDescent="0.25">
      <c r="A101" s="103">
        <v>34</v>
      </c>
      <c r="B101" s="103">
        <v>33</v>
      </c>
      <c r="C101" s="254">
        <f>+ALMACEN!$Z$10/33</f>
        <v>1.2E-2</v>
      </c>
      <c r="D101" s="215">
        <f t="shared" si="9"/>
        <v>0.79200000000000004</v>
      </c>
      <c r="E101" s="20">
        <v>10</v>
      </c>
      <c r="F101" s="255">
        <f t="shared" si="10"/>
        <v>7.92</v>
      </c>
      <c r="G101" s="20"/>
      <c r="H101" s="20"/>
      <c r="I101" s="103"/>
      <c r="J101" s="216"/>
    </row>
    <row r="102" spans="1:10" x14ac:dyDescent="0.25">
      <c r="A102" s="103">
        <v>34</v>
      </c>
      <c r="B102" s="103">
        <f>+B101-2</f>
        <v>31</v>
      </c>
      <c r="C102" s="254">
        <f>+ALMACEN!$Z$10/33</f>
        <v>1.2E-2</v>
      </c>
      <c r="D102" s="215">
        <f t="shared" si="9"/>
        <v>0.74399999999999999</v>
      </c>
      <c r="E102" s="20">
        <v>10</v>
      </c>
      <c r="F102" s="255">
        <f t="shared" si="10"/>
        <v>7.4399999999999995</v>
      </c>
      <c r="G102" s="20"/>
      <c r="H102" s="20"/>
      <c r="I102" s="103"/>
      <c r="J102" s="216"/>
    </row>
    <row r="103" spans="1:10" x14ac:dyDescent="0.25">
      <c r="A103" s="103">
        <v>34</v>
      </c>
      <c r="B103" s="103">
        <f t="shared" ref="B103:B107" si="17">+B102-2</f>
        <v>29</v>
      </c>
      <c r="C103" s="254">
        <f>+ALMACEN!$Z$10/33</f>
        <v>1.2E-2</v>
      </c>
      <c r="D103" s="215">
        <f t="shared" si="9"/>
        <v>0.69600000000000006</v>
      </c>
      <c r="E103" s="20">
        <v>10</v>
      </c>
      <c r="F103" s="255">
        <f t="shared" si="10"/>
        <v>6.9600000000000009</v>
      </c>
      <c r="G103" s="20"/>
      <c r="H103" s="20"/>
      <c r="I103" s="103"/>
      <c r="J103" s="216"/>
    </row>
    <row r="104" spans="1:10" x14ac:dyDescent="0.25">
      <c r="A104" s="103">
        <v>34</v>
      </c>
      <c r="B104" s="103">
        <f t="shared" si="17"/>
        <v>27</v>
      </c>
      <c r="C104" s="254">
        <f>+ALMACEN!$Z$10/33</f>
        <v>1.2E-2</v>
      </c>
      <c r="D104" s="215">
        <f t="shared" si="9"/>
        <v>0.64800000000000002</v>
      </c>
      <c r="E104" s="20">
        <v>8</v>
      </c>
      <c r="F104" s="255">
        <f t="shared" si="10"/>
        <v>5.1840000000000002</v>
      </c>
      <c r="G104" s="20">
        <v>2</v>
      </c>
      <c r="H104" s="256">
        <f>+G104*D104</f>
        <v>1.296</v>
      </c>
      <c r="I104" s="103"/>
      <c r="J104" s="216"/>
    </row>
    <row r="105" spans="1:10" x14ac:dyDescent="0.25">
      <c r="A105" s="103">
        <v>34</v>
      </c>
      <c r="B105" s="103">
        <f t="shared" si="17"/>
        <v>25</v>
      </c>
      <c r="C105" s="254">
        <f>+ALMACEN!$Z$10/33</f>
        <v>1.2E-2</v>
      </c>
      <c r="D105" s="215">
        <f t="shared" si="9"/>
        <v>0.6</v>
      </c>
      <c r="E105" s="20" t="s">
        <v>60</v>
      </c>
      <c r="F105" s="255" t="s">
        <v>60</v>
      </c>
      <c r="G105" s="20">
        <v>8</v>
      </c>
      <c r="H105" s="256">
        <f>+G105*D105</f>
        <v>4.8</v>
      </c>
      <c r="I105" s="103">
        <v>2</v>
      </c>
      <c r="J105" s="216">
        <f t="shared" ref="J105:J107" si="18">+I105*D105</f>
        <v>1.2</v>
      </c>
    </row>
    <row r="106" spans="1:10" x14ac:dyDescent="0.25">
      <c r="A106" s="103">
        <v>34</v>
      </c>
      <c r="B106" s="103">
        <f t="shared" si="17"/>
        <v>23</v>
      </c>
      <c r="C106" s="254">
        <f>+ALMACEN!$Z$10/33</f>
        <v>1.2E-2</v>
      </c>
      <c r="D106" s="215">
        <f t="shared" si="9"/>
        <v>0.55200000000000005</v>
      </c>
      <c r="E106" s="20" t="s">
        <v>60</v>
      </c>
      <c r="F106" s="255" t="s">
        <v>60</v>
      </c>
      <c r="G106" s="20"/>
      <c r="H106" s="20"/>
      <c r="I106" s="103">
        <v>10</v>
      </c>
      <c r="J106" s="216">
        <f t="shared" si="18"/>
        <v>5.5200000000000005</v>
      </c>
    </row>
    <row r="107" spans="1:10" x14ac:dyDescent="0.25">
      <c r="A107" s="103">
        <v>34</v>
      </c>
      <c r="B107" s="103">
        <f t="shared" si="17"/>
        <v>21</v>
      </c>
      <c r="C107" s="254">
        <f>+ALMACEN!$Z$10/33</f>
        <v>1.2E-2</v>
      </c>
      <c r="D107" s="215">
        <f t="shared" si="9"/>
        <v>0.504</v>
      </c>
      <c r="E107" s="20" t="s">
        <v>60</v>
      </c>
      <c r="F107" s="255" t="s">
        <v>60</v>
      </c>
      <c r="G107" s="20"/>
      <c r="H107" s="20"/>
      <c r="I107" s="103">
        <v>9</v>
      </c>
      <c r="J107" s="216">
        <f t="shared" si="18"/>
        <v>4.5359999999999996</v>
      </c>
    </row>
    <row r="108" spans="1:10" x14ac:dyDescent="0.25">
      <c r="A108" s="103">
        <v>35</v>
      </c>
      <c r="B108" s="103">
        <v>13</v>
      </c>
      <c r="C108" s="254">
        <f>+ALMACEN!$Z$10/33</f>
        <v>1.2E-2</v>
      </c>
      <c r="D108" s="215">
        <f t="shared" si="9"/>
        <v>0.312</v>
      </c>
      <c r="E108" s="20">
        <v>10</v>
      </c>
      <c r="F108" s="255">
        <f t="shared" si="10"/>
        <v>3.12</v>
      </c>
      <c r="G108" s="20"/>
      <c r="H108" s="20"/>
      <c r="I108" s="103"/>
      <c r="J108" s="216"/>
    </row>
    <row r="109" spans="1:10" x14ac:dyDescent="0.25">
      <c r="A109" s="103">
        <v>35</v>
      </c>
      <c r="B109" s="103">
        <f>+B108-2</f>
        <v>11</v>
      </c>
      <c r="C109" s="254">
        <f>+ALMACEN!$Z$10/33</f>
        <v>1.2E-2</v>
      </c>
      <c r="D109" s="215">
        <f t="shared" si="9"/>
        <v>0.26400000000000001</v>
      </c>
      <c r="E109" s="20">
        <v>10</v>
      </c>
      <c r="F109" s="255">
        <f t="shared" si="10"/>
        <v>2.64</v>
      </c>
      <c r="G109" s="20"/>
      <c r="H109" s="20"/>
      <c r="I109" s="103"/>
      <c r="J109" s="216"/>
    </row>
    <row r="110" spans="1:10" x14ac:dyDescent="0.25">
      <c r="A110" s="103">
        <v>35</v>
      </c>
      <c r="B110" s="103">
        <f t="shared" ref="B110:B115" si="19">+B109-2</f>
        <v>9</v>
      </c>
      <c r="C110" s="254">
        <f>+ALMACEN!$Z$10/33</f>
        <v>1.2E-2</v>
      </c>
      <c r="D110" s="215">
        <f t="shared" si="9"/>
        <v>0.216</v>
      </c>
      <c r="E110" s="20">
        <v>10</v>
      </c>
      <c r="F110" s="255">
        <f t="shared" si="10"/>
        <v>2.16</v>
      </c>
      <c r="G110" s="20"/>
      <c r="H110" s="20"/>
      <c r="I110" s="103"/>
      <c r="J110" s="216"/>
    </row>
    <row r="111" spans="1:10" x14ac:dyDescent="0.25">
      <c r="A111" s="103">
        <v>35</v>
      </c>
      <c r="B111" s="103">
        <f t="shared" si="19"/>
        <v>7</v>
      </c>
      <c r="C111" s="254">
        <f>+ALMACEN!$Z$10/33</f>
        <v>1.2E-2</v>
      </c>
      <c r="D111" s="215">
        <f t="shared" si="9"/>
        <v>0.16800000000000001</v>
      </c>
      <c r="E111" s="20">
        <v>10</v>
      </c>
      <c r="F111" s="255">
        <f t="shared" si="10"/>
        <v>1.6800000000000002</v>
      </c>
      <c r="G111" s="20"/>
      <c r="H111" s="20"/>
      <c r="I111" s="103"/>
      <c r="J111" s="216"/>
    </row>
    <row r="112" spans="1:10" x14ac:dyDescent="0.25">
      <c r="A112" s="103">
        <v>35</v>
      </c>
      <c r="B112" s="103">
        <v>13</v>
      </c>
      <c r="C112" s="254">
        <f>+ALMACEN!$Z$10/33</f>
        <v>1.2E-2</v>
      </c>
      <c r="D112" s="215">
        <f t="shared" si="9"/>
        <v>0.312</v>
      </c>
      <c r="E112" s="20">
        <v>4</v>
      </c>
      <c r="F112" s="255">
        <f t="shared" si="10"/>
        <v>1.248</v>
      </c>
      <c r="G112" s="20">
        <v>6</v>
      </c>
      <c r="H112" s="256">
        <f>+G112*D112</f>
        <v>1.8719999999999999</v>
      </c>
      <c r="I112" s="103"/>
      <c r="J112" s="216"/>
    </row>
    <row r="113" spans="1:10" x14ac:dyDescent="0.25">
      <c r="A113" s="103">
        <v>35</v>
      </c>
      <c r="B113" s="103">
        <f>+B112-2</f>
        <v>11</v>
      </c>
      <c r="C113" s="254">
        <f>+ALMACEN!$Z$10/33</f>
        <v>1.2E-2</v>
      </c>
      <c r="D113" s="215">
        <f t="shared" si="9"/>
        <v>0.26400000000000001</v>
      </c>
      <c r="E113" s="20" t="s">
        <v>60</v>
      </c>
      <c r="F113" s="255" t="s">
        <v>60</v>
      </c>
      <c r="G113" s="20">
        <v>5</v>
      </c>
      <c r="H113" s="256">
        <f>+G113*D113</f>
        <v>1.32</v>
      </c>
      <c r="I113" s="103">
        <v>5</v>
      </c>
      <c r="J113" s="216">
        <f t="shared" ref="J113:J115" si="20">+I113*D113</f>
        <v>1.32</v>
      </c>
    </row>
    <row r="114" spans="1:10" x14ac:dyDescent="0.25">
      <c r="A114" s="103">
        <v>35</v>
      </c>
      <c r="B114" s="103">
        <f t="shared" si="19"/>
        <v>9</v>
      </c>
      <c r="C114" s="254">
        <f>+ALMACEN!$Z$10/33</f>
        <v>1.2E-2</v>
      </c>
      <c r="D114" s="215">
        <f t="shared" si="9"/>
        <v>0.216</v>
      </c>
      <c r="E114" s="20" t="s">
        <v>60</v>
      </c>
      <c r="F114" s="255" t="s">
        <v>60</v>
      </c>
      <c r="G114" s="20"/>
      <c r="H114" s="20"/>
      <c r="I114" s="103">
        <v>10</v>
      </c>
      <c r="J114" s="216">
        <f t="shared" si="20"/>
        <v>2.16</v>
      </c>
    </row>
    <row r="115" spans="1:10" x14ac:dyDescent="0.25">
      <c r="A115" s="103">
        <v>35</v>
      </c>
      <c r="B115" s="103">
        <f t="shared" si="19"/>
        <v>7</v>
      </c>
      <c r="C115" s="254">
        <f>+ALMACEN!$Z$10/33</f>
        <v>1.2E-2</v>
      </c>
      <c r="D115" s="215">
        <f t="shared" si="9"/>
        <v>0.16800000000000001</v>
      </c>
      <c r="E115" s="20" t="s">
        <v>60</v>
      </c>
      <c r="F115" s="255" t="s">
        <v>60</v>
      </c>
      <c r="G115" s="20"/>
      <c r="H115" s="20"/>
      <c r="I115" s="103">
        <v>8</v>
      </c>
      <c r="J115" s="216">
        <f t="shared" si="20"/>
        <v>1.3440000000000001</v>
      </c>
    </row>
    <row r="116" spans="1:10" x14ac:dyDescent="0.25">
      <c r="A116" s="103">
        <v>36</v>
      </c>
      <c r="B116" s="103">
        <v>33</v>
      </c>
      <c r="C116" s="254">
        <f>+ALMACEN!$Z$10/33</f>
        <v>1.2E-2</v>
      </c>
      <c r="D116" s="215">
        <f t="shared" si="9"/>
        <v>0.79200000000000004</v>
      </c>
      <c r="E116" s="20">
        <v>10</v>
      </c>
      <c r="F116" s="255">
        <f t="shared" si="10"/>
        <v>7.92</v>
      </c>
      <c r="G116" s="20"/>
      <c r="H116" s="20"/>
      <c r="I116" s="103"/>
      <c r="J116" s="216"/>
    </row>
    <row r="117" spans="1:10" x14ac:dyDescent="0.25">
      <c r="A117" s="103">
        <v>36</v>
      </c>
      <c r="B117" s="103">
        <f>+B116-2</f>
        <v>31</v>
      </c>
      <c r="C117" s="254">
        <f>+ALMACEN!$Z$10/33</f>
        <v>1.2E-2</v>
      </c>
      <c r="D117" s="215">
        <f t="shared" si="9"/>
        <v>0.74399999999999999</v>
      </c>
      <c r="E117" s="20">
        <v>10</v>
      </c>
      <c r="F117" s="255">
        <f t="shared" si="10"/>
        <v>7.4399999999999995</v>
      </c>
      <c r="G117" s="20"/>
      <c r="H117" s="20"/>
      <c r="I117" s="103"/>
      <c r="J117" s="216"/>
    </row>
    <row r="118" spans="1:10" x14ac:dyDescent="0.25">
      <c r="A118" s="103">
        <v>36</v>
      </c>
      <c r="B118" s="103">
        <f t="shared" ref="B118:B121" si="21">+B117-2</f>
        <v>29</v>
      </c>
      <c r="C118" s="254">
        <f>+ALMACEN!$Z$10/33</f>
        <v>1.2E-2</v>
      </c>
      <c r="D118" s="215">
        <f t="shared" si="9"/>
        <v>0.69600000000000006</v>
      </c>
      <c r="E118" s="20">
        <v>10</v>
      </c>
      <c r="F118" s="255">
        <f t="shared" si="10"/>
        <v>6.9600000000000009</v>
      </c>
      <c r="G118" s="20"/>
      <c r="H118" s="20"/>
      <c r="I118" s="103"/>
      <c r="J118" s="216"/>
    </row>
    <row r="119" spans="1:10" x14ac:dyDescent="0.25">
      <c r="A119" s="103">
        <v>36</v>
      </c>
      <c r="B119" s="103">
        <f t="shared" si="21"/>
        <v>27</v>
      </c>
      <c r="C119" s="254">
        <f>+ALMACEN!$Z$10/33</f>
        <v>1.2E-2</v>
      </c>
      <c r="D119" s="215">
        <f t="shared" si="9"/>
        <v>0.64800000000000002</v>
      </c>
      <c r="E119" s="20">
        <v>2</v>
      </c>
      <c r="F119" s="255">
        <f t="shared" si="10"/>
        <v>1.296</v>
      </c>
      <c r="G119" s="20">
        <v>8</v>
      </c>
      <c r="H119" s="256">
        <f>+G119*D119</f>
        <v>5.1840000000000002</v>
      </c>
      <c r="I119" s="103"/>
      <c r="J119" s="216"/>
    </row>
    <row r="120" spans="1:10" x14ac:dyDescent="0.25">
      <c r="A120" s="103">
        <v>36</v>
      </c>
      <c r="B120" s="103">
        <f t="shared" si="21"/>
        <v>25</v>
      </c>
      <c r="C120" s="254">
        <f>+ALMACEN!$Z$10/33</f>
        <v>1.2E-2</v>
      </c>
      <c r="D120" s="215">
        <f t="shared" si="9"/>
        <v>0.6</v>
      </c>
      <c r="E120" s="20" t="s">
        <v>60</v>
      </c>
      <c r="F120" s="255" t="s">
        <v>230</v>
      </c>
      <c r="G120" s="20"/>
      <c r="H120" s="20"/>
      <c r="I120" s="103">
        <v>10</v>
      </c>
      <c r="J120" s="216">
        <f t="shared" ref="J120:J121" si="22">+I120*D120</f>
        <v>6</v>
      </c>
    </row>
    <row r="121" spans="1:10" x14ac:dyDescent="0.25">
      <c r="A121" s="103">
        <v>36</v>
      </c>
      <c r="B121" s="103">
        <f t="shared" si="21"/>
        <v>23</v>
      </c>
      <c r="C121" s="254">
        <f>+ALMACEN!$Z$10/33</f>
        <v>1.2E-2</v>
      </c>
      <c r="D121" s="215">
        <f t="shared" si="9"/>
        <v>0.55200000000000005</v>
      </c>
      <c r="E121" s="20" t="s">
        <v>60</v>
      </c>
      <c r="F121" s="255" t="s">
        <v>60</v>
      </c>
      <c r="G121" s="20"/>
      <c r="H121" s="20"/>
      <c r="I121" s="103">
        <v>7</v>
      </c>
      <c r="J121" s="216">
        <f t="shared" si="22"/>
        <v>3.8640000000000003</v>
      </c>
    </row>
    <row r="122" spans="1:10" x14ac:dyDescent="0.25">
      <c r="A122" s="103">
        <v>37</v>
      </c>
      <c r="B122" s="103">
        <v>19</v>
      </c>
      <c r="C122" s="254">
        <f>+ALMACEN!$Z$10/33</f>
        <v>1.2E-2</v>
      </c>
      <c r="D122" s="215">
        <f t="shared" si="9"/>
        <v>0.45600000000000002</v>
      </c>
      <c r="E122" s="20">
        <v>10</v>
      </c>
      <c r="F122" s="255">
        <f t="shared" si="10"/>
        <v>4.5600000000000005</v>
      </c>
      <c r="G122" s="20"/>
      <c r="H122" s="20"/>
      <c r="I122" s="103"/>
      <c r="J122" s="216"/>
    </row>
    <row r="123" spans="1:10" x14ac:dyDescent="0.25">
      <c r="A123" s="103">
        <v>37</v>
      </c>
      <c r="B123" s="103">
        <f>+B122-2</f>
        <v>17</v>
      </c>
      <c r="C123" s="254">
        <f>+ALMACEN!$Z$10/33</f>
        <v>1.2E-2</v>
      </c>
      <c r="D123" s="215">
        <f t="shared" si="9"/>
        <v>0.40800000000000003</v>
      </c>
      <c r="E123" s="20">
        <v>10</v>
      </c>
      <c r="F123" s="255">
        <f t="shared" si="10"/>
        <v>4.08</v>
      </c>
      <c r="G123" s="20"/>
      <c r="H123" s="20"/>
      <c r="I123" s="103"/>
      <c r="J123" s="216"/>
    </row>
    <row r="124" spans="1:10" x14ac:dyDescent="0.25">
      <c r="A124" s="103">
        <v>37</v>
      </c>
      <c r="B124" s="103">
        <f t="shared" ref="B124:B129" si="23">+B123-2</f>
        <v>15</v>
      </c>
      <c r="C124" s="254">
        <f>+ALMACEN!$Z$10/33</f>
        <v>1.2E-2</v>
      </c>
      <c r="D124" s="215">
        <f t="shared" si="9"/>
        <v>0.36</v>
      </c>
      <c r="E124" s="20">
        <v>10</v>
      </c>
      <c r="F124" s="255">
        <f t="shared" si="10"/>
        <v>3.5999999999999996</v>
      </c>
      <c r="G124" s="20"/>
      <c r="H124" s="20"/>
      <c r="I124" s="103"/>
      <c r="J124" s="216"/>
    </row>
    <row r="125" spans="1:10" x14ac:dyDescent="0.25">
      <c r="A125" s="103">
        <v>37</v>
      </c>
      <c r="B125" s="103">
        <f t="shared" si="23"/>
        <v>13</v>
      </c>
      <c r="C125" s="254">
        <f>+ALMACEN!$Z$10/33</f>
        <v>1.2E-2</v>
      </c>
      <c r="D125" s="215">
        <f t="shared" si="9"/>
        <v>0.312</v>
      </c>
      <c r="E125" s="20">
        <v>10</v>
      </c>
      <c r="F125" s="255">
        <f t="shared" si="10"/>
        <v>3.12</v>
      </c>
      <c r="G125" s="20"/>
      <c r="H125" s="20"/>
      <c r="I125" s="103"/>
      <c r="J125" s="216"/>
    </row>
    <row r="126" spans="1:10" x14ac:dyDescent="0.25">
      <c r="A126" s="103">
        <v>37</v>
      </c>
      <c r="B126" s="103">
        <f t="shared" si="23"/>
        <v>11</v>
      </c>
      <c r="C126" s="254">
        <f>+ALMACEN!$Z$10/33</f>
        <v>1.2E-2</v>
      </c>
      <c r="D126" s="215">
        <f t="shared" si="9"/>
        <v>0.26400000000000001</v>
      </c>
      <c r="E126" s="20">
        <v>2</v>
      </c>
      <c r="F126" s="255">
        <f t="shared" si="10"/>
        <v>0.52800000000000002</v>
      </c>
      <c r="G126" s="20">
        <v>8</v>
      </c>
      <c r="H126" s="256">
        <f>+G126*D126</f>
        <v>2.1120000000000001</v>
      </c>
      <c r="I126" s="103"/>
      <c r="J126" s="216"/>
    </row>
    <row r="127" spans="1:10" x14ac:dyDescent="0.25">
      <c r="A127" s="103">
        <v>37</v>
      </c>
      <c r="B127" s="103">
        <f t="shared" si="23"/>
        <v>9</v>
      </c>
      <c r="C127" s="254">
        <f>+ALMACEN!$Z$10/33</f>
        <v>1.2E-2</v>
      </c>
      <c r="D127" s="215">
        <f t="shared" si="9"/>
        <v>0.216</v>
      </c>
      <c r="E127" s="20" t="s">
        <v>60</v>
      </c>
      <c r="F127" s="255" t="s">
        <v>60</v>
      </c>
      <c r="G127" s="20">
        <v>3</v>
      </c>
      <c r="H127" s="256">
        <f>+G127*D127</f>
        <v>0.64800000000000002</v>
      </c>
      <c r="I127" s="103">
        <v>7</v>
      </c>
      <c r="J127" s="216">
        <f t="shared" ref="J127:J141" si="24">+I127*D127</f>
        <v>1.512</v>
      </c>
    </row>
    <row r="128" spans="1:10" x14ac:dyDescent="0.25">
      <c r="A128" s="103">
        <v>37</v>
      </c>
      <c r="B128" s="103">
        <f t="shared" si="23"/>
        <v>7</v>
      </c>
      <c r="C128" s="254">
        <f>+ALMACEN!$Z$10/33</f>
        <v>1.2E-2</v>
      </c>
      <c r="D128" s="215">
        <f t="shared" si="9"/>
        <v>0.16800000000000001</v>
      </c>
      <c r="E128" s="20" t="s">
        <v>60</v>
      </c>
      <c r="F128" s="255" t="s">
        <v>60</v>
      </c>
      <c r="G128" s="20"/>
      <c r="H128" s="20"/>
      <c r="I128" s="103">
        <v>10</v>
      </c>
      <c r="J128" s="216">
        <f t="shared" si="24"/>
        <v>1.6800000000000002</v>
      </c>
    </row>
    <row r="129" spans="1:10" x14ac:dyDescent="0.25">
      <c r="A129" s="103">
        <v>37</v>
      </c>
      <c r="B129" s="103">
        <f t="shared" si="23"/>
        <v>5</v>
      </c>
      <c r="C129" s="254">
        <f>+ALMACEN!$Z$10/33</f>
        <v>1.2E-2</v>
      </c>
      <c r="D129" s="215">
        <f t="shared" si="9"/>
        <v>0.12</v>
      </c>
      <c r="E129" s="20" t="s">
        <v>60</v>
      </c>
      <c r="F129" s="255" t="s">
        <v>60</v>
      </c>
      <c r="G129" s="20"/>
      <c r="H129" s="20"/>
      <c r="I129" s="103">
        <v>6</v>
      </c>
      <c r="J129" s="216">
        <f t="shared" si="24"/>
        <v>0.72</v>
      </c>
    </row>
    <row r="130" spans="1:10" x14ac:dyDescent="0.25">
      <c r="A130" s="103">
        <v>38</v>
      </c>
      <c r="B130" s="103">
        <v>17</v>
      </c>
      <c r="C130" s="254">
        <f>+ALMACEN!$Z$10/33</f>
        <v>1.2E-2</v>
      </c>
      <c r="D130" s="215">
        <f t="shared" si="9"/>
        <v>0.40800000000000003</v>
      </c>
      <c r="E130" s="20">
        <v>2</v>
      </c>
      <c r="F130" s="255">
        <f t="shared" si="10"/>
        <v>0.81600000000000006</v>
      </c>
      <c r="G130" s="20">
        <v>1</v>
      </c>
      <c r="H130" s="256">
        <f>+G130*D130</f>
        <v>0.40800000000000003</v>
      </c>
      <c r="I130" s="103">
        <v>7</v>
      </c>
      <c r="J130" s="216">
        <f t="shared" si="24"/>
        <v>2.8560000000000003</v>
      </c>
    </row>
    <row r="131" spans="1:10" x14ac:dyDescent="0.25">
      <c r="A131" s="103">
        <v>38</v>
      </c>
      <c r="B131" s="103">
        <v>15</v>
      </c>
      <c r="C131" s="254">
        <f>+ALMACEN!$Z$10/33</f>
        <v>1.2E-2</v>
      </c>
      <c r="D131" s="215">
        <f t="shared" si="9"/>
        <v>0.36</v>
      </c>
      <c r="E131" s="20" t="s">
        <v>60</v>
      </c>
      <c r="F131" s="255" t="s">
        <v>60</v>
      </c>
      <c r="G131" s="20"/>
      <c r="H131" s="20"/>
      <c r="I131" s="103">
        <v>3</v>
      </c>
      <c r="J131" s="216">
        <f t="shared" si="24"/>
        <v>1.08</v>
      </c>
    </row>
    <row r="132" spans="1:10" x14ac:dyDescent="0.25">
      <c r="A132" s="103">
        <v>39</v>
      </c>
      <c r="B132" s="103">
        <v>21</v>
      </c>
      <c r="C132" s="254">
        <f>+ALMACEN!$Z$10/33</f>
        <v>1.2E-2</v>
      </c>
      <c r="D132" s="215">
        <f t="shared" si="9"/>
        <v>0.504</v>
      </c>
      <c r="E132" s="20">
        <v>3</v>
      </c>
      <c r="F132" s="255">
        <f t="shared" si="10"/>
        <v>1.512</v>
      </c>
      <c r="G132" s="20">
        <v>1</v>
      </c>
      <c r="H132" s="256">
        <f t="shared" ref="H132:H141" si="25">+G132*D132</f>
        <v>0.504</v>
      </c>
      <c r="I132" s="103">
        <v>3</v>
      </c>
      <c r="J132" s="216">
        <f t="shared" si="24"/>
        <v>1.512</v>
      </c>
    </row>
    <row r="133" spans="1:10" x14ac:dyDescent="0.25">
      <c r="A133" s="103">
        <v>40</v>
      </c>
      <c r="B133" s="103">
        <v>27</v>
      </c>
      <c r="C133" s="254">
        <f>+ALMACEN!$Z$10/33</f>
        <v>1.2E-2</v>
      </c>
      <c r="D133" s="215">
        <f t="shared" ref="D133:D141" si="26">(+C133*B133)*2</f>
        <v>0.64800000000000002</v>
      </c>
      <c r="E133" s="20">
        <v>1</v>
      </c>
      <c r="F133" s="255">
        <f t="shared" ref="F133:F141" si="27">+E133*D133</f>
        <v>0.64800000000000002</v>
      </c>
      <c r="G133" s="20">
        <v>1</v>
      </c>
      <c r="H133" s="256">
        <f t="shared" si="25"/>
        <v>0.64800000000000002</v>
      </c>
      <c r="I133" s="103">
        <v>1</v>
      </c>
      <c r="J133" s="216">
        <f t="shared" si="24"/>
        <v>0.64800000000000002</v>
      </c>
    </row>
    <row r="134" spans="1:10" x14ac:dyDescent="0.25">
      <c r="A134" s="103">
        <v>41</v>
      </c>
      <c r="B134" s="103">
        <v>33</v>
      </c>
      <c r="C134" s="254">
        <f>+ALMACEN!$Z$10/33</f>
        <v>1.2E-2</v>
      </c>
      <c r="D134" s="215">
        <f t="shared" si="26"/>
        <v>0.79200000000000004</v>
      </c>
      <c r="E134" s="20">
        <v>3</v>
      </c>
      <c r="F134" s="255">
        <f t="shared" si="27"/>
        <v>2.3760000000000003</v>
      </c>
      <c r="G134" s="20">
        <v>1</v>
      </c>
      <c r="H134" s="256">
        <f t="shared" si="25"/>
        <v>0.79200000000000004</v>
      </c>
      <c r="I134" s="103">
        <v>3</v>
      </c>
      <c r="J134" s="216">
        <f t="shared" si="24"/>
        <v>2.3760000000000003</v>
      </c>
    </row>
    <row r="135" spans="1:10" x14ac:dyDescent="0.25">
      <c r="A135" s="103">
        <v>42</v>
      </c>
      <c r="B135" s="103">
        <f>+B134-2</f>
        <v>31</v>
      </c>
      <c r="C135" s="254">
        <f>+ALMACEN!$Z$10/33</f>
        <v>1.2E-2</v>
      </c>
      <c r="D135" s="215">
        <f t="shared" si="26"/>
        <v>0.74399999999999999</v>
      </c>
      <c r="E135" s="20">
        <v>4</v>
      </c>
      <c r="F135" s="255">
        <f t="shared" si="27"/>
        <v>2.976</v>
      </c>
      <c r="G135" s="20">
        <v>1</v>
      </c>
      <c r="H135" s="256">
        <f t="shared" si="25"/>
        <v>0.74399999999999999</v>
      </c>
      <c r="I135" s="103">
        <v>3</v>
      </c>
      <c r="J135" s="216">
        <f t="shared" si="24"/>
        <v>2.2320000000000002</v>
      </c>
    </row>
    <row r="136" spans="1:10" x14ac:dyDescent="0.25">
      <c r="A136" s="103">
        <v>43</v>
      </c>
      <c r="B136" s="103">
        <f t="shared" ref="B136:B141" si="28">+B135-2</f>
        <v>29</v>
      </c>
      <c r="C136" s="254">
        <f>+ALMACEN!$Z$10/33</f>
        <v>1.2E-2</v>
      </c>
      <c r="D136" s="215">
        <f t="shared" si="26"/>
        <v>0.69600000000000006</v>
      </c>
      <c r="E136" s="20">
        <v>2</v>
      </c>
      <c r="F136" s="255">
        <f t="shared" si="27"/>
        <v>1.3920000000000001</v>
      </c>
      <c r="G136" s="20">
        <v>1</v>
      </c>
      <c r="H136" s="256">
        <f t="shared" si="25"/>
        <v>0.69600000000000006</v>
      </c>
      <c r="I136" s="103">
        <v>2</v>
      </c>
      <c r="J136" s="216">
        <f t="shared" si="24"/>
        <v>1.3920000000000001</v>
      </c>
    </row>
    <row r="137" spans="1:10" x14ac:dyDescent="0.25">
      <c r="A137" s="103">
        <v>44</v>
      </c>
      <c r="B137" s="103">
        <f t="shared" si="28"/>
        <v>27</v>
      </c>
      <c r="C137" s="254">
        <f>+ALMACEN!$Z$10/33</f>
        <v>1.2E-2</v>
      </c>
      <c r="D137" s="215">
        <f t="shared" si="26"/>
        <v>0.64800000000000002</v>
      </c>
      <c r="E137" s="20">
        <v>2</v>
      </c>
      <c r="F137" s="255">
        <f t="shared" si="27"/>
        <v>1.296</v>
      </c>
      <c r="G137" s="20">
        <v>1</v>
      </c>
      <c r="H137" s="256">
        <f t="shared" si="25"/>
        <v>0.64800000000000002</v>
      </c>
      <c r="I137" s="103">
        <v>4</v>
      </c>
      <c r="J137" s="216">
        <f t="shared" si="24"/>
        <v>2.5920000000000001</v>
      </c>
    </row>
    <row r="138" spans="1:10" x14ac:dyDescent="0.25">
      <c r="A138" s="103">
        <v>45</v>
      </c>
      <c r="B138" s="103">
        <f t="shared" si="28"/>
        <v>25</v>
      </c>
      <c r="C138" s="254">
        <f>+ALMACEN!$Z$10/33</f>
        <v>1.2E-2</v>
      </c>
      <c r="D138" s="215">
        <f t="shared" si="26"/>
        <v>0.6</v>
      </c>
      <c r="E138" s="20">
        <v>2</v>
      </c>
      <c r="F138" s="255">
        <f t="shared" si="27"/>
        <v>1.2</v>
      </c>
      <c r="G138" s="20">
        <v>1</v>
      </c>
      <c r="H138" s="256">
        <f t="shared" si="25"/>
        <v>0.6</v>
      </c>
      <c r="I138" s="103">
        <v>2</v>
      </c>
      <c r="J138" s="216">
        <f t="shared" si="24"/>
        <v>1.2</v>
      </c>
    </row>
    <row r="139" spans="1:10" x14ac:dyDescent="0.25">
      <c r="A139" s="103">
        <v>46</v>
      </c>
      <c r="B139" s="103">
        <f t="shared" si="28"/>
        <v>23</v>
      </c>
      <c r="C139" s="254">
        <f>+ALMACEN!$Z$10/33</f>
        <v>1.2E-2</v>
      </c>
      <c r="D139" s="215">
        <f t="shared" si="26"/>
        <v>0.55200000000000005</v>
      </c>
      <c r="E139" s="20">
        <v>2</v>
      </c>
      <c r="F139" s="255">
        <f t="shared" si="27"/>
        <v>1.1040000000000001</v>
      </c>
      <c r="G139" s="20">
        <v>1</v>
      </c>
      <c r="H139" s="256">
        <f t="shared" si="25"/>
        <v>0.55200000000000005</v>
      </c>
      <c r="I139" s="103">
        <v>2</v>
      </c>
      <c r="J139" s="216">
        <f t="shared" si="24"/>
        <v>1.1040000000000001</v>
      </c>
    </row>
    <row r="140" spans="1:10" x14ac:dyDescent="0.25">
      <c r="A140" s="103">
        <v>47</v>
      </c>
      <c r="B140" s="103">
        <f t="shared" si="28"/>
        <v>21</v>
      </c>
      <c r="C140" s="254">
        <f>+ALMACEN!$Z$10/33</f>
        <v>1.2E-2</v>
      </c>
      <c r="D140" s="215">
        <f t="shared" si="26"/>
        <v>0.504</v>
      </c>
      <c r="E140" s="20">
        <v>3</v>
      </c>
      <c r="F140" s="255">
        <f t="shared" si="27"/>
        <v>1.512</v>
      </c>
      <c r="G140" s="20">
        <v>1</v>
      </c>
      <c r="H140" s="256">
        <f t="shared" si="25"/>
        <v>0.504</v>
      </c>
      <c r="I140" s="103">
        <v>6</v>
      </c>
      <c r="J140" s="216">
        <f t="shared" si="24"/>
        <v>3.024</v>
      </c>
    </row>
    <row r="141" spans="1:10" x14ac:dyDescent="0.25">
      <c r="A141" s="103">
        <v>48</v>
      </c>
      <c r="B141" s="103">
        <f t="shared" si="28"/>
        <v>19</v>
      </c>
      <c r="C141" s="254">
        <f>+ALMACEN!$Z$10/33</f>
        <v>1.2E-2</v>
      </c>
      <c r="D141" s="215">
        <f t="shared" si="26"/>
        <v>0.45600000000000002</v>
      </c>
      <c r="E141" s="20">
        <v>2</v>
      </c>
      <c r="F141" s="255">
        <f t="shared" si="27"/>
        <v>0.91200000000000003</v>
      </c>
      <c r="G141" s="20">
        <v>1</v>
      </c>
      <c r="H141" s="256">
        <f t="shared" si="25"/>
        <v>0.45600000000000002</v>
      </c>
      <c r="I141" s="103">
        <v>7</v>
      </c>
      <c r="J141" s="216">
        <f t="shared" si="24"/>
        <v>3.1920000000000002</v>
      </c>
    </row>
    <row r="142" spans="1:10" x14ac:dyDescent="0.25">
      <c r="F142" s="252">
        <f>SUM(F2:F141)</f>
        <v>303.90769430519049</v>
      </c>
      <c r="H142" s="252">
        <f>SUM(H2:H141)</f>
        <v>77.423999999999992</v>
      </c>
      <c r="J142" s="252">
        <f>SUM(J2:J141)</f>
        <v>229.68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workbookViewId="0">
      <selection activeCell="F13" sqref="F13"/>
    </sheetView>
  </sheetViews>
  <sheetFormatPr baseColWidth="10" defaultRowHeight="15" x14ac:dyDescent="0.25"/>
  <sheetData>
    <row r="1" spans="1:10" s="11" customFormat="1" ht="18.75" x14ac:dyDescent="0.3">
      <c r="A1" s="221" t="s">
        <v>59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10" x14ac:dyDescent="0.25">
      <c r="A2" s="40" t="s">
        <v>55</v>
      </c>
    </row>
    <row r="3" spans="1:10" x14ac:dyDescent="0.25">
      <c r="A3" s="41" t="s">
        <v>56</v>
      </c>
    </row>
    <row r="4" spans="1:10" x14ac:dyDescent="0.25">
      <c r="A4" s="41" t="s">
        <v>57</v>
      </c>
    </row>
    <row r="5" spans="1:10" x14ac:dyDescent="0.25">
      <c r="A5" s="41" t="s">
        <v>58</v>
      </c>
    </row>
  </sheetData>
  <mergeCells count="1">
    <mergeCell ref="A1:J1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zoomScale="87" zoomScaleNormal="87" workbookViewId="0">
      <selection activeCell="Y13" sqref="Y13"/>
    </sheetView>
  </sheetViews>
  <sheetFormatPr baseColWidth="10" defaultRowHeight="15" x14ac:dyDescent="0.25"/>
  <cols>
    <col min="1" max="1" width="8" style="11" customWidth="1"/>
    <col min="2" max="2" width="4.5703125" style="11" customWidth="1"/>
    <col min="3" max="3" width="12.28515625" customWidth="1"/>
    <col min="4" max="4" width="11.42578125" customWidth="1"/>
    <col min="5" max="5" width="4.7109375" customWidth="1"/>
    <col min="6" max="18" width="3.7109375" style="70" customWidth="1"/>
    <col min="19" max="19" width="5.85546875" customWidth="1"/>
    <col min="20" max="20" width="5.5703125" customWidth="1"/>
    <col min="21" max="21" width="14.5703125" customWidth="1"/>
    <col min="22" max="22" width="13.7109375" style="36" customWidth="1"/>
    <col min="23" max="23" width="25.28515625" style="36" customWidth="1"/>
    <col min="24" max="24" width="8.85546875" style="36" customWidth="1"/>
    <col min="28" max="28" width="12.42578125" customWidth="1"/>
    <col min="31" max="31" width="11.28515625" customWidth="1"/>
  </cols>
  <sheetData>
    <row r="1" spans="1:27" ht="15.75" thickBot="1" x14ac:dyDescent="0.3">
      <c r="A1" s="36"/>
      <c r="B1" s="36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35" t="s">
        <v>82</v>
      </c>
      <c r="N1" s="235"/>
      <c r="O1" s="85"/>
      <c r="P1" s="85"/>
      <c r="Q1" s="85"/>
      <c r="R1" s="85"/>
      <c r="S1" s="85"/>
      <c r="T1" s="85"/>
      <c r="U1" s="85"/>
      <c r="V1" s="85"/>
      <c r="W1" s="143" t="s">
        <v>162</v>
      </c>
      <c r="X1" s="113"/>
      <c r="Y1" s="114"/>
      <c r="Z1" s="224" t="s">
        <v>163</v>
      </c>
      <c r="AA1" s="225"/>
    </row>
    <row r="2" spans="1:27" ht="15.75" thickBot="1" x14ac:dyDescent="0.3">
      <c r="A2" s="222"/>
      <c r="B2" s="36"/>
      <c r="C2" s="226" t="s">
        <v>62</v>
      </c>
      <c r="D2" s="227"/>
      <c r="E2" s="87" t="s">
        <v>158</v>
      </c>
      <c r="F2" s="77">
        <v>1</v>
      </c>
      <c r="G2" s="78">
        <v>1</v>
      </c>
      <c r="H2" s="78">
        <v>1</v>
      </c>
      <c r="I2" s="78">
        <v>2</v>
      </c>
      <c r="J2" s="78">
        <v>2</v>
      </c>
      <c r="K2" s="78">
        <v>3</v>
      </c>
      <c r="L2" s="78">
        <v>4</v>
      </c>
      <c r="M2" s="78">
        <v>4</v>
      </c>
      <c r="N2" s="78">
        <v>5</v>
      </c>
      <c r="O2" s="78">
        <v>6</v>
      </c>
      <c r="P2" s="78">
        <v>6</v>
      </c>
      <c r="Q2" s="79">
        <v>7</v>
      </c>
      <c r="R2" s="80">
        <v>7</v>
      </c>
      <c r="S2" s="154" t="s">
        <v>87</v>
      </c>
      <c r="T2" s="226" t="s">
        <v>61</v>
      </c>
      <c r="U2" s="227"/>
      <c r="V2" s="234" t="s">
        <v>92</v>
      </c>
      <c r="W2" s="137" t="s">
        <v>85</v>
      </c>
      <c r="X2" s="86">
        <f>+X3*X4*X5</f>
        <v>8250</v>
      </c>
      <c r="Y2" s="37"/>
      <c r="Z2" s="33" t="s">
        <v>89</v>
      </c>
      <c r="AA2" s="136"/>
    </row>
    <row r="3" spans="1:27" ht="30.75" customHeight="1" thickBot="1" x14ac:dyDescent="0.3">
      <c r="A3" s="222"/>
      <c r="B3" s="36"/>
      <c r="C3" s="228"/>
      <c r="D3" s="229"/>
      <c r="E3" s="88" t="s">
        <v>87</v>
      </c>
      <c r="F3" s="89" t="s">
        <v>88</v>
      </c>
      <c r="G3" s="62"/>
      <c r="H3" s="62"/>
      <c r="I3" s="62"/>
      <c r="J3" s="62"/>
      <c r="K3" s="63"/>
      <c r="L3" s="62"/>
      <c r="M3" s="62"/>
      <c r="N3" s="62"/>
      <c r="O3" s="62"/>
      <c r="P3" s="62"/>
      <c r="Q3" s="62"/>
      <c r="R3" s="62"/>
      <c r="S3" s="37"/>
      <c r="T3" s="228"/>
      <c r="U3" s="229"/>
      <c r="V3" s="234"/>
      <c r="W3" s="137" t="s">
        <v>80</v>
      </c>
      <c r="X3" s="36">
        <v>50</v>
      </c>
      <c r="Y3" s="37"/>
      <c r="Z3" s="35"/>
      <c r="AA3" s="37"/>
    </row>
    <row r="4" spans="1:27" x14ac:dyDescent="0.25">
      <c r="A4" s="222"/>
      <c r="B4" s="36"/>
      <c r="C4" s="36"/>
      <c r="D4" s="36"/>
      <c r="E4" s="35"/>
      <c r="F4" s="57">
        <v>8</v>
      </c>
      <c r="G4" s="57">
        <v>9</v>
      </c>
      <c r="H4" s="57">
        <v>9</v>
      </c>
      <c r="I4" s="57">
        <v>9</v>
      </c>
      <c r="J4" s="57">
        <v>10</v>
      </c>
      <c r="K4" s="57">
        <v>10</v>
      </c>
      <c r="L4" s="57">
        <v>11</v>
      </c>
      <c r="M4" s="57">
        <v>11</v>
      </c>
      <c r="N4" s="57">
        <v>11</v>
      </c>
      <c r="O4" s="57">
        <v>12</v>
      </c>
      <c r="P4" s="57">
        <v>12</v>
      </c>
      <c r="Q4" s="57">
        <v>13</v>
      </c>
      <c r="R4" s="58">
        <v>13</v>
      </c>
      <c r="S4" s="37"/>
      <c r="T4" s="36"/>
      <c r="U4" s="34"/>
      <c r="W4" s="137" t="s">
        <v>81</v>
      </c>
      <c r="X4" s="36">
        <v>15</v>
      </c>
      <c r="Y4" s="37"/>
      <c r="Z4" s="35" t="s">
        <v>90</v>
      </c>
      <c r="AA4" s="37"/>
    </row>
    <row r="5" spans="1:27" ht="15.75" thickBot="1" x14ac:dyDescent="0.3">
      <c r="A5" s="222"/>
      <c r="B5" s="36"/>
      <c r="C5" s="36"/>
      <c r="D5" s="36"/>
      <c r="E5" s="35"/>
      <c r="F5" s="59">
        <v>14</v>
      </c>
      <c r="G5" s="60">
        <v>14</v>
      </c>
      <c r="H5" s="60">
        <v>14</v>
      </c>
      <c r="I5" s="71">
        <v>15</v>
      </c>
      <c r="J5" s="71">
        <v>15</v>
      </c>
      <c r="K5" s="71">
        <v>15</v>
      </c>
      <c r="L5" s="71">
        <v>15</v>
      </c>
      <c r="M5" s="71">
        <v>15</v>
      </c>
      <c r="N5" s="71">
        <v>16</v>
      </c>
      <c r="O5" s="71">
        <v>17</v>
      </c>
      <c r="P5" s="71">
        <v>18</v>
      </c>
      <c r="Q5" s="71">
        <v>19</v>
      </c>
      <c r="R5" s="72">
        <v>19</v>
      </c>
      <c r="S5" s="37"/>
      <c r="T5" s="36"/>
      <c r="U5" s="44"/>
      <c r="W5" s="137" t="s">
        <v>84</v>
      </c>
      <c r="X5" s="36">
        <v>11</v>
      </c>
      <c r="Y5" s="37"/>
      <c r="Z5" s="35" t="s">
        <v>91</v>
      </c>
      <c r="AA5" s="37"/>
    </row>
    <row r="6" spans="1:27" ht="29.25" customHeight="1" thickBot="1" x14ac:dyDescent="0.3">
      <c r="A6" s="222"/>
      <c r="B6" s="36"/>
      <c r="C6" s="36"/>
      <c r="D6" s="36"/>
      <c r="E6" s="35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37"/>
      <c r="T6" s="36"/>
      <c r="U6" s="36"/>
      <c r="W6" s="142" t="s">
        <v>86</v>
      </c>
      <c r="X6" s="140">
        <f>+X3*X4</f>
        <v>750</v>
      </c>
      <c r="Y6" s="141"/>
      <c r="Z6" s="38" t="s">
        <v>93</v>
      </c>
      <c r="AA6" s="141"/>
    </row>
    <row r="7" spans="1:27" x14ac:dyDescent="0.25">
      <c r="A7" s="222"/>
      <c r="B7" s="36"/>
      <c r="C7" s="36"/>
      <c r="D7" s="36"/>
      <c r="E7" s="35"/>
      <c r="F7" s="73">
        <v>20</v>
      </c>
      <c r="G7" s="74">
        <v>20</v>
      </c>
      <c r="H7" s="74">
        <v>40</v>
      </c>
      <c r="I7" s="65">
        <v>21</v>
      </c>
      <c r="J7" s="65">
        <v>21</v>
      </c>
      <c r="K7" s="65">
        <v>21</v>
      </c>
      <c r="L7" s="65">
        <v>22</v>
      </c>
      <c r="M7" s="65">
        <v>22</v>
      </c>
      <c r="N7" s="65">
        <v>22</v>
      </c>
      <c r="O7" s="65">
        <v>22</v>
      </c>
      <c r="P7" s="65">
        <v>25</v>
      </c>
      <c r="Q7" s="65">
        <v>25</v>
      </c>
      <c r="R7" s="65">
        <v>25</v>
      </c>
      <c r="S7" s="37"/>
      <c r="T7" s="36"/>
      <c r="U7" s="36"/>
      <c r="W7" s="35"/>
      <c r="X7" s="86" t="s">
        <v>60</v>
      </c>
      <c r="Y7" s="36"/>
      <c r="Z7" s="36"/>
      <c r="AA7" s="37"/>
    </row>
    <row r="8" spans="1:27" ht="15.75" thickBot="1" x14ac:dyDescent="0.3">
      <c r="A8" s="222"/>
      <c r="B8" s="36"/>
      <c r="C8" s="36"/>
      <c r="D8" s="36"/>
      <c r="E8" s="35"/>
      <c r="F8" s="66">
        <v>23</v>
      </c>
      <c r="G8" s="67">
        <v>23</v>
      </c>
      <c r="H8" s="67">
        <v>23</v>
      </c>
      <c r="I8" s="67">
        <v>23</v>
      </c>
      <c r="J8" s="67">
        <v>23</v>
      </c>
      <c r="K8" s="67">
        <v>24</v>
      </c>
      <c r="L8" s="67">
        <v>24</v>
      </c>
      <c r="M8" s="67">
        <v>24</v>
      </c>
      <c r="N8" s="67">
        <v>24</v>
      </c>
      <c r="O8" s="67">
        <v>24</v>
      </c>
      <c r="P8" s="67">
        <v>24</v>
      </c>
      <c r="Q8" s="67">
        <v>24</v>
      </c>
      <c r="R8" s="68">
        <v>25</v>
      </c>
      <c r="S8" s="37"/>
      <c r="T8" s="36"/>
      <c r="U8" s="36"/>
      <c r="W8" s="35"/>
      <c r="X8" s="86" t="s">
        <v>60</v>
      </c>
      <c r="Y8" s="36"/>
      <c r="Z8" s="138"/>
      <c r="AA8" s="37"/>
    </row>
    <row r="9" spans="1:27" ht="32.25" customHeight="1" thickBot="1" x14ac:dyDescent="0.3">
      <c r="A9" s="222"/>
      <c r="B9" s="42"/>
      <c r="C9" s="43"/>
      <c r="D9" s="36"/>
      <c r="E9" s="35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37"/>
      <c r="T9" s="36"/>
      <c r="U9" s="36"/>
      <c r="W9" s="144" t="s">
        <v>147</v>
      </c>
      <c r="X9" s="103">
        <v>15000</v>
      </c>
      <c r="Y9" s="103">
        <v>60</v>
      </c>
      <c r="Z9" s="153" t="s">
        <v>148</v>
      </c>
      <c r="AA9" s="37"/>
    </row>
    <row r="10" spans="1:27" ht="15.75" thickBot="1" x14ac:dyDescent="0.3">
      <c r="A10" s="222"/>
      <c r="B10" s="42"/>
      <c r="C10" s="43"/>
      <c r="D10" s="36"/>
      <c r="E10" s="35"/>
      <c r="F10" s="69">
        <v>26</v>
      </c>
      <c r="G10" s="69">
        <v>26</v>
      </c>
      <c r="H10" s="69">
        <v>26</v>
      </c>
      <c r="I10" s="69">
        <v>26</v>
      </c>
      <c r="J10" s="69">
        <v>26</v>
      </c>
      <c r="K10" s="69">
        <v>26</v>
      </c>
      <c r="L10" s="69">
        <v>26</v>
      </c>
      <c r="M10" s="69">
        <v>27</v>
      </c>
      <c r="N10" s="65">
        <v>27</v>
      </c>
      <c r="O10" s="65">
        <v>27</v>
      </c>
      <c r="P10" s="65">
        <v>27</v>
      </c>
      <c r="Q10" s="68">
        <v>24</v>
      </c>
      <c r="R10" s="57">
        <v>28</v>
      </c>
      <c r="S10" s="37"/>
      <c r="T10" s="128">
        <v>12</v>
      </c>
      <c r="U10" s="36"/>
      <c r="W10" s="145" t="s">
        <v>149</v>
      </c>
      <c r="X10" s="103">
        <v>10</v>
      </c>
      <c r="Y10" s="103">
        <f>+Y9/X10</f>
        <v>6</v>
      </c>
      <c r="Z10" s="216">
        <f>(+Y10/1000*33)*2</f>
        <v>0.39600000000000002</v>
      </c>
      <c r="AA10" s="37"/>
    </row>
    <row r="11" spans="1:27" ht="35.25" thickBot="1" x14ac:dyDescent="0.3">
      <c r="A11" s="223" t="s">
        <v>83</v>
      </c>
      <c r="B11" s="42"/>
      <c r="C11" s="43"/>
      <c r="D11" s="36"/>
      <c r="E11" s="35"/>
      <c r="F11" s="59">
        <v>29</v>
      </c>
      <c r="G11" s="60">
        <v>29</v>
      </c>
      <c r="H11" s="60">
        <v>29</v>
      </c>
      <c r="I11" s="60">
        <v>30</v>
      </c>
      <c r="J11" s="60">
        <v>30</v>
      </c>
      <c r="K11" s="60">
        <v>31</v>
      </c>
      <c r="L11" s="60">
        <v>31</v>
      </c>
      <c r="M11" s="60">
        <v>32</v>
      </c>
      <c r="N11" s="60">
        <v>32</v>
      </c>
      <c r="O11" s="60">
        <v>32</v>
      </c>
      <c r="P11" s="60">
        <v>32</v>
      </c>
      <c r="Q11" s="60">
        <v>32</v>
      </c>
      <c r="R11" s="61">
        <v>32</v>
      </c>
      <c r="S11" s="37"/>
      <c r="T11" s="127" t="s">
        <v>161</v>
      </c>
      <c r="U11" s="36"/>
      <c r="W11" s="146" t="s">
        <v>150</v>
      </c>
      <c r="X11" s="215">
        <f>+Z10*2</f>
        <v>0.79200000000000004</v>
      </c>
      <c r="Y11" s="149" t="s">
        <v>151</v>
      </c>
      <c r="Z11" s="215">
        <v>0.5</v>
      </c>
      <c r="AA11" s="217"/>
    </row>
    <row r="12" spans="1:27" ht="31.5" customHeight="1" thickBot="1" x14ac:dyDescent="0.3">
      <c r="A12" s="223"/>
      <c r="B12" s="42"/>
      <c r="C12" s="43"/>
      <c r="D12" s="36"/>
      <c r="E12" s="35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37"/>
      <c r="T12" s="36"/>
      <c r="U12" s="36"/>
      <c r="W12" s="147" t="s">
        <v>152</v>
      </c>
      <c r="X12" s="249">
        <f>+X11+Z11+Z12</f>
        <v>1.792</v>
      </c>
      <c r="Y12" s="149" t="s">
        <v>227</v>
      </c>
      <c r="Z12" s="250">
        <v>0.5</v>
      </c>
      <c r="AA12" s="37"/>
    </row>
    <row r="13" spans="1:27" ht="15.75" thickBot="1" x14ac:dyDescent="0.3">
      <c r="A13" s="36"/>
      <c r="B13" s="42"/>
      <c r="C13" s="43"/>
      <c r="D13" s="36"/>
      <c r="E13" s="35"/>
      <c r="F13" s="75">
        <v>41</v>
      </c>
      <c r="G13" s="75">
        <v>42</v>
      </c>
      <c r="H13" s="75">
        <v>43</v>
      </c>
      <c r="I13" s="75">
        <v>44</v>
      </c>
      <c r="J13" s="75">
        <v>45</v>
      </c>
      <c r="K13" s="75">
        <v>46</v>
      </c>
      <c r="L13" s="75">
        <v>47</v>
      </c>
      <c r="M13" s="76">
        <v>48</v>
      </c>
      <c r="N13" s="64" t="s">
        <v>60</v>
      </c>
      <c r="O13" s="64"/>
      <c r="P13" s="64"/>
      <c r="Q13" s="64"/>
      <c r="R13" s="64"/>
      <c r="S13" s="37"/>
      <c r="T13" s="36"/>
      <c r="U13" s="36"/>
      <c r="W13" s="148" t="s">
        <v>153</v>
      </c>
      <c r="X13" s="129"/>
      <c r="Y13" s="130">
        <v>3</v>
      </c>
      <c r="Z13" s="131"/>
      <c r="AA13" s="37"/>
    </row>
    <row r="14" spans="1:27" ht="29.25" customHeight="1" thickBot="1" x14ac:dyDescent="0.3">
      <c r="A14" s="36"/>
      <c r="B14" s="42"/>
      <c r="C14" s="43"/>
      <c r="D14" s="36"/>
      <c r="E14" s="35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37"/>
      <c r="T14" s="36"/>
      <c r="U14" s="36"/>
      <c r="W14" s="35"/>
      <c r="X14" s="86" t="s">
        <v>60</v>
      </c>
      <c r="Y14" s="36"/>
      <c r="Z14" s="36"/>
      <c r="AA14" s="37"/>
    </row>
    <row r="15" spans="1:27" s="11" customFormat="1" ht="16.5" thickTop="1" thickBot="1" x14ac:dyDescent="0.3">
      <c r="A15" s="36"/>
      <c r="B15" s="36"/>
      <c r="C15" s="36"/>
      <c r="D15" s="36"/>
      <c r="E15" s="155"/>
      <c r="F15" s="156"/>
      <c r="G15" s="156"/>
      <c r="H15" s="156"/>
      <c r="I15" s="156"/>
      <c r="J15" s="156"/>
      <c r="K15" s="156"/>
      <c r="L15" s="156"/>
      <c r="M15" s="157"/>
      <c r="N15" s="157"/>
      <c r="O15" s="157"/>
      <c r="P15" s="157"/>
      <c r="Q15" s="157"/>
      <c r="R15" s="157"/>
      <c r="S15" s="158"/>
      <c r="T15" s="36"/>
      <c r="U15" s="36"/>
      <c r="V15" s="36"/>
      <c r="W15" s="151" t="s">
        <v>154</v>
      </c>
      <c r="X15" s="132"/>
      <c r="Y15" s="103">
        <f>+[1]CUBICAJE!P50/[1]CUBICAJE!M50</f>
        <v>44.999999999999993</v>
      </c>
      <c r="Z15" s="36"/>
      <c r="AA15" s="37"/>
    </row>
    <row r="16" spans="1:27" ht="24" thickBot="1" x14ac:dyDescent="0.3">
      <c r="A16" s="36"/>
      <c r="B16" s="36"/>
      <c r="C16" s="36"/>
      <c r="D16" s="36"/>
      <c r="E16" s="159"/>
      <c r="F16" s="160">
        <v>33</v>
      </c>
      <c r="G16" s="160">
        <v>33</v>
      </c>
      <c r="H16" s="161">
        <v>33</v>
      </c>
      <c r="I16" s="161">
        <v>33</v>
      </c>
      <c r="J16" s="161">
        <v>33</v>
      </c>
      <c r="K16" s="161">
        <v>33</v>
      </c>
      <c r="L16" s="161">
        <v>33</v>
      </c>
      <c r="M16" s="161">
        <v>33</v>
      </c>
      <c r="N16" s="162">
        <v>33</v>
      </c>
      <c r="O16" s="162">
        <v>35</v>
      </c>
      <c r="P16" s="162">
        <v>35</v>
      </c>
      <c r="Q16" s="162">
        <v>35</v>
      </c>
      <c r="R16" s="162">
        <v>35</v>
      </c>
      <c r="S16" s="163"/>
      <c r="T16" s="36"/>
      <c r="U16" s="36"/>
      <c r="W16" s="150" t="s">
        <v>155</v>
      </c>
      <c r="X16" s="133"/>
      <c r="Y16" s="103">
        <f>+Y15*2</f>
        <v>89.999999999999986</v>
      </c>
      <c r="Z16" s="36"/>
      <c r="AA16" s="37"/>
    </row>
    <row r="17" spans="1:27" ht="15.75" customHeight="1" thickBot="1" x14ac:dyDescent="0.3">
      <c r="A17" s="36"/>
      <c r="B17" s="36"/>
      <c r="C17" s="36"/>
      <c r="D17" s="36"/>
      <c r="E17" s="164"/>
      <c r="F17" s="165">
        <v>34</v>
      </c>
      <c r="G17" s="165">
        <v>34</v>
      </c>
      <c r="H17" s="165">
        <v>34</v>
      </c>
      <c r="I17" s="165">
        <v>34</v>
      </c>
      <c r="J17" s="165">
        <v>34</v>
      </c>
      <c r="K17" s="165">
        <v>34</v>
      </c>
      <c r="L17" s="165">
        <v>34</v>
      </c>
      <c r="M17" s="166">
        <v>38</v>
      </c>
      <c r="N17" s="167">
        <v>38</v>
      </c>
      <c r="O17" s="162">
        <v>35</v>
      </c>
      <c r="P17" s="162">
        <v>35</v>
      </c>
      <c r="Q17" s="162">
        <v>35</v>
      </c>
      <c r="R17" s="162">
        <v>35</v>
      </c>
      <c r="S17" s="163"/>
      <c r="T17" s="36"/>
      <c r="U17" s="36"/>
      <c r="W17" s="152" t="s">
        <v>156</v>
      </c>
      <c r="X17" s="134"/>
      <c r="Y17" s="103">
        <f>+Y16*51/60</f>
        <v>76.499999999999986</v>
      </c>
      <c r="Z17" s="36"/>
      <c r="AA17" s="37"/>
    </row>
    <row r="18" spans="1:27" ht="29.25" customHeight="1" thickBot="1" x14ac:dyDescent="0.3">
      <c r="A18" s="36"/>
      <c r="B18" s="36"/>
      <c r="C18" s="230" t="s">
        <v>164</v>
      </c>
      <c r="D18" s="231"/>
      <c r="E18" s="164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  <c r="Q18" s="168"/>
      <c r="R18" s="168"/>
      <c r="S18" s="163"/>
      <c r="T18" s="222"/>
      <c r="U18" s="222"/>
      <c r="W18" s="150" t="s">
        <v>157</v>
      </c>
      <c r="X18" s="135"/>
      <c r="Y18" s="103">
        <f>+X12+Y16</f>
        <v>91.791999999999987</v>
      </c>
      <c r="Z18" s="36"/>
      <c r="AA18" s="37"/>
    </row>
    <row r="19" spans="1:27" ht="15.75" thickBot="1" x14ac:dyDescent="0.3">
      <c r="A19" s="36"/>
      <c r="B19" s="36"/>
      <c r="C19" s="232"/>
      <c r="D19" s="233"/>
      <c r="E19" s="169">
        <v>36</v>
      </c>
      <c r="F19" s="169">
        <v>36</v>
      </c>
      <c r="G19" s="169">
        <v>36</v>
      </c>
      <c r="H19" s="169">
        <v>36</v>
      </c>
      <c r="I19" s="169">
        <v>36</v>
      </c>
      <c r="J19" s="169">
        <v>36</v>
      </c>
      <c r="K19" s="169">
        <v>39</v>
      </c>
      <c r="L19" s="169">
        <v>37</v>
      </c>
      <c r="M19" s="169">
        <v>37</v>
      </c>
      <c r="N19" s="169">
        <v>37</v>
      </c>
      <c r="O19" s="169">
        <v>37</v>
      </c>
      <c r="P19" s="169">
        <v>37</v>
      </c>
      <c r="Q19" s="169">
        <v>37</v>
      </c>
      <c r="R19" s="169">
        <v>37</v>
      </c>
      <c r="S19" s="169">
        <v>37</v>
      </c>
      <c r="T19" s="222"/>
      <c r="U19" s="222"/>
      <c r="W19" s="139"/>
      <c r="X19" s="135"/>
      <c r="Y19" s="36"/>
      <c r="Z19" s="36"/>
      <c r="AA19" s="37"/>
    </row>
    <row r="20" spans="1:27" ht="15.75" thickBot="1" x14ac:dyDescent="0.3">
      <c r="A20" s="36"/>
      <c r="B20" s="36"/>
      <c r="C20" s="36"/>
      <c r="D20" s="36"/>
      <c r="E20" s="126"/>
      <c r="F20" s="126"/>
      <c r="G20" s="126"/>
      <c r="H20" s="126"/>
      <c r="I20" s="126"/>
      <c r="J20" s="126"/>
      <c r="K20" s="126" t="s">
        <v>159</v>
      </c>
      <c r="L20" s="126"/>
      <c r="M20" s="126"/>
      <c r="N20" s="126"/>
      <c r="O20" s="126"/>
      <c r="P20" s="126"/>
      <c r="Q20" s="126"/>
      <c r="R20" s="126"/>
      <c r="S20" s="126"/>
      <c r="T20" s="36"/>
      <c r="U20" s="127" t="s">
        <v>160</v>
      </c>
      <c r="W20" s="38"/>
      <c r="X20" s="140"/>
      <c r="Y20" s="39"/>
      <c r="Z20" s="39"/>
      <c r="AA20" s="141"/>
    </row>
    <row r="21" spans="1:27" x14ac:dyDescent="0.25">
      <c r="A21" s="36"/>
      <c r="B21" s="36"/>
      <c r="C21" s="36"/>
      <c r="D21" s="36"/>
      <c r="E21" s="36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36"/>
      <c r="T21" s="36"/>
      <c r="U21" s="36"/>
      <c r="X21" s="86"/>
    </row>
    <row r="22" spans="1:27" x14ac:dyDescent="0.25">
      <c r="A22" s="36"/>
      <c r="B22" s="36"/>
      <c r="C22" s="36"/>
      <c r="D22" s="36"/>
      <c r="E22" s="36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36"/>
      <c r="T22" s="36"/>
      <c r="U22" s="36"/>
      <c r="X22" s="86"/>
    </row>
    <row r="23" spans="1:27" x14ac:dyDescent="0.25">
      <c r="X23" s="86"/>
    </row>
    <row r="24" spans="1:27" x14ac:dyDescent="0.25">
      <c r="X24" s="86"/>
    </row>
    <row r="25" spans="1:27" x14ac:dyDescent="0.25">
      <c r="X25" s="86"/>
    </row>
    <row r="26" spans="1:27" x14ac:dyDescent="0.25">
      <c r="X26" s="86"/>
    </row>
    <row r="27" spans="1:27" x14ac:dyDescent="0.25">
      <c r="X27" s="86"/>
    </row>
    <row r="28" spans="1:27" x14ac:dyDescent="0.25">
      <c r="X28" s="86"/>
    </row>
  </sheetData>
  <mergeCells count="10">
    <mergeCell ref="A2:A10"/>
    <mergeCell ref="A11:A12"/>
    <mergeCell ref="Z1:AA1"/>
    <mergeCell ref="T2:U3"/>
    <mergeCell ref="T18:U19"/>
    <mergeCell ref="C2:D3"/>
    <mergeCell ref="C18:D19"/>
    <mergeCell ref="V2:V3"/>
    <mergeCell ref="C1:L1"/>
    <mergeCell ref="M1:N1"/>
  </mergeCells>
  <pageMargins left="0.70866141732283472" right="0.70866141732283472" top="0.74803149606299213" bottom="0.74803149606299213" header="0.31496062992125984" footer="0.31496062992125984"/>
  <pageSetup scale="5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workbookViewId="0"/>
  </sheetViews>
  <sheetFormatPr baseColWidth="10" defaultRowHeight="15" x14ac:dyDescent="0.25"/>
  <cols>
    <col min="1" max="1" width="35.28515625" style="11" customWidth="1"/>
    <col min="2" max="2" width="13.140625" style="92" bestFit="1" customWidth="1"/>
    <col min="3" max="3" width="17.42578125" style="92" customWidth="1"/>
    <col min="4" max="4" width="5.85546875" style="92" customWidth="1"/>
    <col min="5" max="5" width="13.5703125" style="93" customWidth="1"/>
    <col min="6" max="8" width="11.42578125" style="92"/>
    <col min="9" max="9" width="10.7109375" style="92" customWidth="1"/>
    <col min="10" max="11" width="11.42578125" style="92"/>
    <col min="12" max="12" width="15.28515625" style="92" customWidth="1"/>
    <col min="13" max="14" width="11.42578125" style="92"/>
    <col min="15" max="15" width="14.7109375" style="92" customWidth="1"/>
    <col min="16" max="18" width="11.42578125" style="92"/>
    <col min="19" max="16384" width="11.42578125" style="11"/>
  </cols>
  <sheetData>
    <row r="1" spans="1:17" s="11" customFormat="1" x14ac:dyDescent="0.25">
      <c r="B1" s="92"/>
      <c r="C1" s="92"/>
      <c r="D1" s="92"/>
      <c r="E1" s="93">
        <f>+B6*2</f>
        <v>37780</v>
      </c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</row>
    <row r="2" spans="1:17" s="11" customFormat="1" ht="60" x14ac:dyDescent="0.25">
      <c r="B2" s="94" t="s">
        <v>94</v>
      </c>
      <c r="C2" s="94" t="s">
        <v>95</v>
      </c>
      <c r="D2" s="94"/>
      <c r="E2" s="92" t="s">
        <v>96</v>
      </c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</row>
    <row r="3" spans="1:17" s="11" customFormat="1" x14ac:dyDescent="0.25">
      <c r="B3" s="92">
        <v>566700</v>
      </c>
      <c r="C3" s="92">
        <v>67800</v>
      </c>
      <c r="D3" s="92"/>
      <c r="E3" s="93" t="s">
        <v>97</v>
      </c>
      <c r="F3" s="92"/>
      <c r="G3" s="92"/>
      <c r="H3" s="92"/>
      <c r="I3" s="92"/>
      <c r="J3" s="92"/>
      <c r="K3" s="92"/>
      <c r="L3" s="92"/>
      <c r="M3" s="92" t="s">
        <v>98</v>
      </c>
      <c r="N3" s="92"/>
      <c r="O3" s="92"/>
      <c r="P3" s="92"/>
      <c r="Q3" s="92"/>
    </row>
    <row r="4" spans="1:17" s="11" customFormat="1" x14ac:dyDescent="0.25">
      <c r="B4" s="92"/>
      <c r="C4" s="92"/>
      <c r="D4" s="92"/>
      <c r="E4" s="93"/>
      <c r="F4" s="92"/>
      <c r="G4" s="92"/>
      <c r="H4" s="92"/>
      <c r="I4" s="92"/>
      <c r="J4" s="92"/>
      <c r="K4" s="92"/>
      <c r="L4" s="92"/>
      <c r="M4" s="95" t="s">
        <v>99</v>
      </c>
      <c r="N4" s="96"/>
      <c r="O4" s="97"/>
      <c r="P4" s="92"/>
      <c r="Q4" s="92"/>
    </row>
    <row r="5" spans="1:17" s="11" customFormat="1" ht="45" x14ac:dyDescent="0.25">
      <c r="A5" s="98" t="s">
        <v>100</v>
      </c>
      <c r="B5" s="99" t="s">
        <v>101</v>
      </c>
      <c r="C5" s="100" t="s">
        <v>102</v>
      </c>
      <c r="D5" s="92"/>
      <c r="E5" s="101" t="s">
        <v>103</v>
      </c>
      <c r="F5" s="102" t="s">
        <v>104</v>
      </c>
      <c r="G5" s="102" t="s">
        <v>105</v>
      </c>
      <c r="H5" s="102" t="s">
        <v>106</v>
      </c>
      <c r="I5" s="102" t="s">
        <v>107</v>
      </c>
      <c r="J5" s="102" t="s">
        <v>108</v>
      </c>
      <c r="K5" s="102" t="s">
        <v>109</v>
      </c>
      <c r="L5" s="102" t="s">
        <v>110</v>
      </c>
      <c r="M5" s="102" t="s">
        <v>111</v>
      </c>
      <c r="N5" s="102" t="s">
        <v>112</v>
      </c>
      <c r="O5" s="102" t="s">
        <v>113</v>
      </c>
      <c r="P5" s="102" t="s">
        <v>114</v>
      </c>
      <c r="Q5" s="102" t="s">
        <v>115</v>
      </c>
    </row>
    <row r="6" spans="1:17" s="11" customFormat="1" x14ac:dyDescent="0.25">
      <c r="A6" s="103" t="s">
        <v>116</v>
      </c>
      <c r="B6" s="104">
        <f>566700/30</f>
        <v>18890</v>
      </c>
      <c r="C6" s="104">
        <f>IF(B6&gt;($B$3*2),0,$C$3)/30*2</f>
        <v>4520</v>
      </c>
      <c r="D6" s="92"/>
      <c r="E6" s="105">
        <f>1*2</f>
        <v>2</v>
      </c>
      <c r="F6" s="104">
        <f>B6*E6</f>
        <v>37780</v>
      </c>
      <c r="G6" s="104">
        <f>C6*E6</f>
        <v>9040</v>
      </c>
      <c r="H6" s="104">
        <v>0</v>
      </c>
      <c r="I6" s="104">
        <f>(B6/240*1.25*H6)</f>
        <v>0</v>
      </c>
      <c r="J6" s="104">
        <v>0</v>
      </c>
      <c r="K6" s="104">
        <f>(B6/240)*35%*J6</f>
        <v>0</v>
      </c>
      <c r="L6" s="104">
        <f>+F6+G6+I6+K6</f>
        <v>46820</v>
      </c>
      <c r="M6" s="104">
        <f>((F6+I6+K6)*4%)</f>
        <v>1511.2</v>
      </c>
      <c r="N6" s="104">
        <f>((F6+I6+K6)*4%)</f>
        <v>1511.2</v>
      </c>
      <c r="O6" s="104">
        <v>0</v>
      </c>
      <c r="P6" s="104">
        <f>+M6+N6+O6</f>
        <v>3022.4</v>
      </c>
      <c r="Q6" s="104">
        <f>+L6-P6</f>
        <v>43797.599999999999</v>
      </c>
    </row>
    <row r="7" spans="1:17" s="11" customFormat="1" ht="30" x14ac:dyDescent="0.25">
      <c r="A7" s="106" t="s">
        <v>117</v>
      </c>
      <c r="B7" s="104">
        <f>566700/30</f>
        <v>18890</v>
      </c>
      <c r="C7" s="104">
        <f>IF(B7&gt;($B$3*2),0,$C$3)/30*3</f>
        <v>6780</v>
      </c>
      <c r="D7" s="92"/>
      <c r="E7" s="105">
        <f>1*3</f>
        <v>3</v>
      </c>
      <c r="F7" s="104">
        <f t="shared" ref="F7:F18" si="0">B7*E7</f>
        <v>56670</v>
      </c>
      <c r="G7" s="104">
        <f t="shared" ref="G7:G18" si="1">C7*E7</f>
        <v>20340</v>
      </c>
      <c r="H7" s="104"/>
      <c r="I7" s="104">
        <v>0</v>
      </c>
      <c r="J7" s="104"/>
      <c r="K7" s="104">
        <v>0</v>
      </c>
      <c r="L7" s="104">
        <f t="shared" ref="L7:L18" si="2">+F7+G7+I7+K7</f>
        <v>77010</v>
      </c>
      <c r="M7" s="104">
        <f t="shared" ref="M7:M18" si="3">((F7+I7+K7)*4%)</f>
        <v>2266.8000000000002</v>
      </c>
      <c r="N7" s="104">
        <f t="shared" ref="N7:N18" si="4">((F7+I7+K7)*4%)</f>
        <v>2266.8000000000002</v>
      </c>
      <c r="O7" s="104">
        <v>0</v>
      </c>
      <c r="P7" s="104">
        <f t="shared" ref="P7:P18" si="5">+M7+N7+O7</f>
        <v>4533.6000000000004</v>
      </c>
      <c r="Q7" s="104">
        <f t="shared" ref="Q7:Q18" si="6">+L7-P7</f>
        <v>72476.399999999994</v>
      </c>
    </row>
    <row r="8" spans="1:17" s="11" customFormat="1" x14ac:dyDescent="0.25">
      <c r="A8" s="103" t="s">
        <v>118</v>
      </c>
      <c r="B8" s="104">
        <f>800000/30</f>
        <v>26666.666666666668</v>
      </c>
      <c r="C8" s="104">
        <f>IF(B8&gt;($B$3*2),0,$C$3)/30*2</f>
        <v>4520</v>
      </c>
      <c r="D8" s="92"/>
      <c r="E8" s="105">
        <f>1*2</f>
        <v>2</v>
      </c>
      <c r="F8" s="104">
        <f t="shared" si="0"/>
        <v>53333.333333333336</v>
      </c>
      <c r="G8" s="104">
        <f t="shared" si="1"/>
        <v>9040</v>
      </c>
      <c r="H8" s="104"/>
      <c r="I8" s="104">
        <v>0</v>
      </c>
      <c r="J8" s="104"/>
      <c r="K8" s="104">
        <v>0</v>
      </c>
      <c r="L8" s="104">
        <f t="shared" si="2"/>
        <v>62373.333333333336</v>
      </c>
      <c r="M8" s="104">
        <f t="shared" si="3"/>
        <v>2133.3333333333335</v>
      </c>
      <c r="N8" s="104">
        <f t="shared" si="4"/>
        <v>2133.3333333333335</v>
      </c>
      <c r="O8" s="104">
        <v>0</v>
      </c>
      <c r="P8" s="104">
        <f t="shared" si="5"/>
        <v>4266.666666666667</v>
      </c>
      <c r="Q8" s="104">
        <f t="shared" si="6"/>
        <v>58106.666666666672</v>
      </c>
    </row>
    <row r="9" spans="1:17" s="11" customFormat="1" x14ac:dyDescent="0.25">
      <c r="A9" s="106" t="s">
        <v>119</v>
      </c>
      <c r="B9" s="104">
        <f>700000/30</f>
        <v>23333.333333333332</v>
      </c>
      <c r="C9" s="104">
        <f>IF(B9&gt;($B$3*2),0,$C$3)/30</f>
        <v>2260</v>
      </c>
      <c r="D9" s="92"/>
      <c r="E9" s="105">
        <v>1</v>
      </c>
      <c r="F9" s="104">
        <f t="shared" si="0"/>
        <v>23333.333333333332</v>
      </c>
      <c r="G9" s="104">
        <f t="shared" si="1"/>
        <v>2260</v>
      </c>
      <c r="H9" s="104"/>
      <c r="I9" s="104">
        <v>0</v>
      </c>
      <c r="J9" s="104"/>
      <c r="K9" s="104">
        <v>0</v>
      </c>
      <c r="L9" s="104">
        <f t="shared" si="2"/>
        <v>25593.333333333332</v>
      </c>
      <c r="M9" s="104">
        <f t="shared" si="3"/>
        <v>933.33333333333326</v>
      </c>
      <c r="N9" s="104">
        <f t="shared" si="4"/>
        <v>933.33333333333326</v>
      </c>
      <c r="O9" s="104">
        <v>0</v>
      </c>
      <c r="P9" s="104">
        <f t="shared" si="5"/>
        <v>1866.6666666666665</v>
      </c>
      <c r="Q9" s="104">
        <f t="shared" si="6"/>
        <v>23726.666666666664</v>
      </c>
    </row>
    <row r="10" spans="1:17" s="11" customFormat="1" x14ac:dyDescent="0.25">
      <c r="A10" s="106" t="s">
        <v>120</v>
      </c>
      <c r="B10" s="104">
        <f>566700/30</f>
        <v>18890</v>
      </c>
      <c r="C10" s="104">
        <f>IF(B10&gt;($B$3*2),0,$C$3)/30</f>
        <v>2260</v>
      </c>
      <c r="D10" s="92"/>
      <c r="E10" s="105">
        <v>1</v>
      </c>
      <c r="F10" s="104">
        <f t="shared" si="0"/>
        <v>18890</v>
      </c>
      <c r="G10" s="104">
        <f t="shared" si="1"/>
        <v>2260</v>
      </c>
      <c r="H10" s="104"/>
      <c r="I10" s="104">
        <v>0</v>
      </c>
      <c r="J10" s="104"/>
      <c r="K10" s="104">
        <v>0</v>
      </c>
      <c r="L10" s="104">
        <f t="shared" si="2"/>
        <v>21150</v>
      </c>
      <c r="M10" s="104">
        <f t="shared" si="3"/>
        <v>755.6</v>
      </c>
      <c r="N10" s="104">
        <f t="shared" si="4"/>
        <v>755.6</v>
      </c>
      <c r="O10" s="104">
        <v>0</v>
      </c>
      <c r="P10" s="104">
        <f t="shared" si="5"/>
        <v>1511.2</v>
      </c>
      <c r="Q10" s="104">
        <f t="shared" si="6"/>
        <v>19638.8</v>
      </c>
    </row>
    <row r="11" spans="1:17" s="11" customFormat="1" x14ac:dyDescent="0.25">
      <c r="A11" s="106" t="s">
        <v>121</v>
      </c>
      <c r="B11" s="104">
        <f>566700/30</f>
        <v>18890</v>
      </c>
      <c r="C11" s="104">
        <f>IF(B11&gt;($B$3*2),0,$C$3)/30*2</f>
        <v>4520</v>
      </c>
      <c r="D11" s="92"/>
      <c r="E11" s="105">
        <v>1</v>
      </c>
      <c r="F11" s="104">
        <f t="shared" si="0"/>
        <v>18890</v>
      </c>
      <c r="G11" s="104">
        <f t="shared" si="1"/>
        <v>4520</v>
      </c>
      <c r="H11" s="104"/>
      <c r="I11" s="104">
        <v>0</v>
      </c>
      <c r="J11" s="104"/>
      <c r="K11" s="104">
        <v>0</v>
      </c>
      <c r="L11" s="104">
        <f t="shared" si="2"/>
        <v>23410</v>
      </c>
      <c r="M11" s="104">
        <f t="shared" si="3"/>
        <v>755.6</v>
      </c>
      <c r="N11" s="104">
        <f t="shared" si="4"/>
        <v>755.6</v>
      </c>
      <c r="O11" s="104">
        <v>0</v>
      </c>
      <c r="P11" s="104">
        <f t="shared" si="5"/>
        <v>1511.2</v>
      </c>
      <c r="Q11" s="104">
        <f t="shared" si="6"/>
        <v>21898.799999999999</v>
      </c>
    </row>
    <row r="12" spans="1:17" s="11" customFormat="1" x14ac:dyDescent="0.25">
      <c r="A12" s="106" t="s">
        <v>122</v>
      </c>
      <c r="B12" s="104">
        <f>566700/30</f>
        <v>18890</v>
      </c>
      <c r="C12" s="104">
        <f>IF(B12&gt;($B$3*2),0,$C$3)/30*10</f>
        <v>22600</v>
      </c>
      <c r="D12" s="92"/>
      <c r="E12" s="105">
        <f>1*10</f>
        <v>10</v>
      </c>
      <c r="F12" s="104">
        <f t="shared" si="0"/>
        <v>188900</v>
      </c>
      <c r="G12" s="104">
        <f t="shared" si="1"/>
        <v>226000</v>
      </c>
      <c r="H12" s="104"/>
      <c r="I12" s="104"/>
      <c r="J12" s="104"/>
      <c r="K12" s="104"/>
      <c r="L12" s="104">
        <f t="shared" si="2"/>
        <v>414900</v>
      </c>
      <c r="M12" s="104">
        <f t="shared" si="3"/>
        <v>7556</v>
      </c>
      <c r="N12" s="104">
        <f t="shared" si="4"/>
        <v>7556</v>
      </c>
      <c r="O12" s="104">
        <v>0</v>
      </c>
      <c r="P12" s="104">
        <f t="shared" si="5"/>
        <v>15112</v>
      </c>
      <c r="Q12" s="104">
        <f t="shared" si="6"/>
        <v>399788</v>
      </c>
    </row>
    <row r="13" spans="1:17" s="11" customFormat="1" x14ac:dyDescent="0.25">
      <c r="A13" s="106" t="s">
        <v>123</v>
      </c>
      <c r="B13" s="104">
        <f>2300000/30</f>
        <v>76666.666666666672</v>
      </c>
      <c r="C13" s="104">
        <v>0</v>
      </c>
      <c r="D13" s="92"/>
      <c r="E13" s="105"/>
      <c r="F13" s="104">
        <f t="shared" si="0"/>
        <v>0</v>
      </c>
      <c r="G13" s="104">
        <f t="shared" si="1"/>
        <v>0</v>
      </c>
      <c r="H13" s="104"/>
      <c r="I13" s="104"/>
      <c r="J13" s="104"/>
      <c r="K13" s="104"/>
      <c r="L13" s="104">
        <f t="shared" si="2"/>
        <v>0</v>
      </c>
      <c r="M13" s="104">
        <f t="shared" si="3"/>
        <v>0</v>
      </c>
      <c r="N13" s="104">
        <f t="shared" si="4"/>
        <v>0</v>
      </c>
      <c r="O13" s="104">
        <v>0</v>
      </c>
      <c r="P13" s="104">
        <f t="shared" si="5"/>
        <v>0</v>
      </c>
      <c r="Q13" s="104">
        <f t="shared" si="6"/>
        <v>0</v>
      </c>
    </row>
    <row r="14" spans="1:17" s="11" customFormat="1" x14ac:dyDescent="0.25">
      <c r="A14" s="106" t="s">
        <v>124</v>
      </c>
      <c r="B14" s="104">
        <f>1800000/30</f>
        <v>60000</v>
      </c>
      <c r="C14" s="104">
        <v>0</v>
      </c>
      <c r="D14" s="92"/>
      <c r="E14" s="105"/>
      <c r="F14" s="104">
        <f t="shared" si="0"/>
        <v>0</v>
      </c>
      <c r="G14" s="104">
        <f t="shared" si="1"/>
        <v>0</v>
      </c>
      <c r="H14" s="104"/>
      <c r="I14" s="104"/>
      <c r="J14" s="104"/>
      <c r="K14" s="104"/>
      <c r="L14" s="104">
        <f t="shared" si="2"/>
        <v>0</v>
      </c>
      <c r="M14" s="104">
        <f t="shared" si="3"/>
        <v>0</v>
      </c>
      <c r="N14" s="104">
        <f t="shared" si="4"/>
        <v>0</v>
      </c>
      <c r="O14" s="104">
        <v>0</v>
      </c>
      <c r="P14" s="104">
        <f t="shared" si="5"/>
        <v>0</v>
      </c>
      <c r="Q14" s="104">
        <f t="shared" si="6"/>
        <v>0</v>
      </c>
    </row>
    <row r="15" spans="1:17" s="11" customFormat="1" x14ac:dyDescent="0.25">
      <c r="A15" s="106" t="s">
        <v>125</v>
      </c>
      <c r="B15" s="104">
        <f>600000/30</f>
        <v>20000</v>
      </c>
      <c r="C15" s="104">
        <f>IF(B15&gt;($B$3*2),0,$C$3)/30*3</f>
        <v>6780</v>
      </c>
      <c r="D15" s="92"/>
      <c r="E15" s="105">
        <f>1*3</f>
        <v>3</v>
      </c>
      <c r="F15" s="104">
        <f t="shared" si="0"/>
        <v>60000</v>
      </c>
      <c r="G15" s="104">
        <f t="shared" si="1"/>
        <v>20340</v>
      </c>
      <c r="H15" s="104"/>
      <c r="I15" s="104"/>
      <c r="J15" s="104"/>
      <c r="K15" s="104"/>
      <c r="L15" s="104">
        <f t="shared" si="2"/>
        <v>80340</v>
      </c>
      <c r="M15" s="104">
        <f t="shared" si="3"/>
        <v>2400</v>
      </c>
      <c r="N15" s="104">
        <f t="shared" si="4"/>
        <v>2400</v>
      </c>
      <c r="O15" s="104">
        <v>0</v>
      </c>
      <c r="P15" s="104">
        <f t="shared" si="5"/>
        <v>4800</v>
      </c>
      <c r="Q15" s="104">
        <f t="shared" si="6"/>
        <v>75540</v>
      </c>
    </row>
    <row r="16" spans="1:17" s="11" customFormat="1" x14ac:dyDescent="0.25">
      <c r="A16" s="106"/>
      <c r="B16" s="104"/>
      <c r="C16" s="104">
        <v>0</v>
      </c>
      <c r="D16" s="92"/>
      <c r="E16" s="105"/>
      <c r="F16" s="104">
        <f t="shared" si="0"/>
        <v>0</v>
      </c>
      <c r="G16" s="104">
        <f t="shared" si="1"/>
        <v>0</v>
      </c>
      <c r="H16" s="104"/>
      <c r="I16" s="104"/>
      <c r="J16" s="104"/>
      <c r="K16" s="104"/>
      <c r="L16" s="104">
        <f t="shared" si="2"/>
        <v>0</v>
      </c>
      <c r="M16" s="104">
        <f t="shared" si="3"/>
        <v>0</v>
      </c>
      <c r="N16" s="104">
        <f t="shared" si="4"/>
        <v>0</v>
      </c>
      <c r="O16" s="104">
        <v>0</v>
      </c>
      <c r="P16" s="104">
        <f t="shared" si="5"/>
        <v>0</v>
      </c>
      <c r="Q16" s="104">
        <f t="shared" si="6"/>
        <v>0</v>
      </c>
    </row>
    <row r="17" spans="1:17" s="11" customFormat="1" x14ac:dyDescent="0.25">
      <c r="A17" s="106"/>
      <c r="B17" s="104"/>
      <c r="C17" s="104">
        <v>0</v>
      </c>
      <c r="D17" s="92"/>
      <c r="E17" s="105"/>
      <c r="F17" s="104">
        <f t="shared" si="0"/>
        <v>0</v>
      </c>
      <c r="G17" s="104">
        <f t="shared" si="1"/>
        <v>0</v>
      </c>
      <c r="H17" s="104"/>
      <c r="I17" s="104"/>
      <c r="J17" s="104"/>
      <c r="K17" s="104"/>
      <c r="L17" s="104">
        <f t="shared" si="2"/>
        <v>0</v>
      </c>
      <c r="M17" s="104">
        <f t="shared" si="3"/>
        <v>0</v>
      </c>
      <c r="N17" s="104">
        <f t="shared" si="4"/>
        <v>0</v>
      </c>
      <c r="O17" s="104">
        <v>0</v>
      </c>
      <c r="P17" s="104">
        <f t="shared" si="5"/>
        <v>0</v>
      </c>
      <c r="Q17" s="104">
        <f t="shared" si="6"/>
        <v>0</v>
      </c>
    </row>
    <row r="18" spans="1:17" s="11" customFormat="1" x14ac:dyDescent="0.25">
      <c r="A18" s="106"/>
      <c r="B18" s="104"/>
      <c r="C18" s="104">
        <v>0</v>
      </c>
      <c r="D18" s="92"/>
      <c r="E18" s="105"/>
      <c r="F18" s="104">
        <f t="shared" si="0"/>
        <v>0</v>
      </c>
      <c r="G18" s="104">
        <f t="shared" si="1"/>
        <v>0</v>
      </c>
      <c r="H18" s="104"/>
      <c r="I18" s="104"/>
      <c r="J18" s="104"/>
      <c r="K18" s="104"/>
      <c r="L18" s="104">
        <f t="shared" si="2"/>
        <v>0</v>
      </c>
      <c r="M18" s="104">
        <f t="shared" si="3"/>
        <v>0</v>
      </c>
      <c r="N18" s="104">
        <f t="shared" si="4"/>
        <v>0</v>
      </c>
      <c r="O18" s="104">
        <v>0</v>
      </c>
      <c r="P18" s="104">
        <f t="shared" si="5"/>
        <v>0</v>
      </c>
      <c r="Q18" s="104">
        <f t="shared" si="6"/>
        <v>0</v>
      </c>
    </row>
    <row r="20" spans="1:17" s="11" customFormat="1" x14ac:dyDescent="0.25">
      <c r="B20" s="92"/>
      <c r="C20" s="92"/>
      <c r="D20" s="92"/>
      <c r="E20" s="107" t="s">
        <v>126</v>
      </c>
      <c r="F20" s="108">
        <f>SUM(F6:F19)</f>
        <v>457796.66666666669</v>
      </c>
      <c r="G20" s="108">
        <f t="shared" ref="G20:Q20" si="7">SUM(G6:G19)</f>
        <v>293800</v>
      </c>
      <c r="H20" s="108">
        <f t="shared" si="7"/>
        <v>0</v>
      </c>
      <c r="I20" s="108">
        <f t="shared" si="7"/>
        <v>0</v>
      </c>
      <c r="J20" s="108">
        <f t="shared" si="7"/>
        <v>0</v>
      </c>
      <c r="K20" s="108">
        <f t="shared" si="7"/>
        <v>0</v>
      </c>
      <c r="L20" s="108">
        <f t="shared" si="7"/>
        <v>751596.66666666674</v>
      </c>
      <c r="M20" s="108">
        <f t="shared" si="7"/>
        <v>18311.866666666669</v>
      </c>
      <c r="N20" s="108">
        <f t="shared" si="7"/>
        <v>18311.866666666669</v>
      </c>
      <c r="O20" s="108">
        <f t="shared" si="7"/>
        <v>0</v>
      </c>
      <c r="P20" s="108">
        <f t="shared" si="7"/>
        <v>36623.733333333337</v>
      </c>
      <c r="Q20" s="108">
        <f t="shared" si="7"/>
        <v>714972.93333333335</v>
      </c>
    </row>
    <row r="23" spans="1:17" s="11" customFormat="1" x14ac:dyDescent="0.25">
      <c r="A23" s="11" t="s">
        <v>127</v>
      </c>
      <c r="B23" s="92"/>
      <c r="C23" s="92"/>
      <c r="D23" s="92"/>
      <c r="E23" s="93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2"/>
    </row>
    <row r="25" spans="1:17" s="11" customFormat="1" x14ac:dyDescent="0.25">
      <c r="A25" s="11" t="s">
        <v>128</v>
      </c>
      <c r="B25" s="92">
        <f>(F20+I20+K20)*0.522%</f>
        <v>2389.6986000000002</v>
      </c>
      <c r="C25" s="92"/>
      <c r="D25" s="92"/>
      <c r="E25" s="93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</row>
    <row r="26" spans="1:17" s="11" customFormat="1" x14ac:dyDescent="0.25">
      <c r="B26" s="92"/>
      <c r="C26" s="92"/>
      <c r="D26" s="92"/>
      <c r="E26" s="93" t="s">
        <v>129</v>
      </c>
      <c r="F26" s="92">
        <f>+L20+B25+B28+B29+B30+C34+C35+C36+C37</f>
        <v>895125.07760000019</v>
      </c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92"/>
    </row>
    <row r="27" spans="1:17" s="11" customFormat="1" x14ac:dyDescent="0.25">
      <c r="A27" s="11" t="s">
        <v>130</v>
      </c>
      <c r="B27" s="92"/>
      <c r="C27" s="92"/>
      <c r="D27" s="92"/>
      <c r="E27" s="93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2"/>
    </row>
    <row r="28" spans="1:17" s="11" customFormat="1" x14ac:dyDescent="0.25">
      <c r="A28" s="11" t="s">
        <v>131</v>
      </c>
      <c r="B28" s="92">
        <f>(F20+I20+K20)*4%</f>
        <v>18311.866666666669</v>
      </c>
      <c r="C28" s="92"/>
      <c r="D28" s="92"/>
      <c r="E28" s="93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</row>
    <row r="29" spans="1:17" s="11" customFormat="1" x14ac:dyDescent="0.25">
      <c r="A29" s="11" t="s">
        <v>132</v>
      </c>
      <c r="B29" s="92">
        <f>(F20+I20+K20)*2%</f>
        <v>9155.9333333333343</v>
      </c>
      <c r="C29" s="92"/>
      <c r="D29" s="92"/>
      <c r="E29" s="93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</row>
    <row r="30" spans="1:17" s="11" customFormat="1" x14ac:dyDescent="0.25">
      <c r="A30" s="11" t="s">
        <v>133</v>
      </c>
      <c r="B30" s="92">
        <f>(F20+I20+K20)*3%</f>
        <v>13733.9</v>
      </c>
      <c r="C30" s="109"/>
      <c r="D30" s="92"/>
      <c r="E30" s="93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</row>
    <row r="32" spans="1:17" s="11" customFormat="1" x14ac:dyDescent="0.25">
      <c r="B32" s="108">
        <f>SUM(B25:B31)</f>
        <v>43591.3986</v>
      </c>
      <c r="C32" s="92"/>
      <c r="D32" s="92"/>
      <c r="E32" s="93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</row>
    <row r="33" spans="1:3" s="11" customFormat="1" x14ac:dyDescent="0.25">
      <c r="A33" s="11" t="s">
        <v>134</v>
      </c>
      <c r="B33" s="92"/>
      <c r="C33" s="92"/>
    </row>
    <row r="34" spans="1:3" s="11" customFormat="1" x14ac:dyDescent="0.25">
      <c r="A34" s="110" t="s">
        <v>135</v>
      </c>
      <c r="B34" s="111">
        <v>8.3299999999999999E-2</v>
      </c>
      <c r="C34" s="92">
        <f>+$F$20*B34</f>
        <v>38134.462333333337</v>
      </c>
    </row>
    <row r="35" spans="1:3" s="11" customFormat="1" x14ac:dyDescent="0.25">
      <c r="A35" s="110" t="s">
        <v>136</v>
      </c>
      <c r="B35" s="111">
        <v>8.3299999999999999E-2</v>
      </c>
      <c r="C35" s="92">
        <f>+$F$20*B35</f>
        <v>38134.462333333337</v>
      </c>
    </row>
    <row r="36" spans="1:3" s="11" customFormat="1" x14ac:dyDescent="0.25">
      <c r="A36" s="110" t="s">
        <v>137</v>
      </c>
      <c r="B36" s="111">
        <v>4.1700000000000001E-2</v>
      </c>
      <c r="C36" s="92">
        <f>+$F$20*B36</f>
        <v>19090.121000000003</v>
      </c>
    </row>
    <row r="37" spans="1:3" s="11" customFormat="1" x14ac:dyDescent="0.25">
      <c r="A37" s="110" t="s">
        <v>138</v>
      </c>
      <c r="B37" s="112">
        <v>0.01</v>
      </c>
      <c r="C37" s="92">
        <f>+$F$20*B37</f>
        <v>4577.9666666666672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G7" sqref="G7"/>
    </sheetView>
  </sheetViews>
  <sheetFormatPr baseColWidth="10" defaultRowHeight="15" x14ac:dyDescent="0.25"/>
  <cols>
    <col min="1" max="1" width="64.28515625" style="11" customWidth="1"/>
    <col min="2" max="3" width="11.42578125" style="11"/>
    <col min="4" max="4" width="14.140625" style="11" bestFit="1" customWidth="1"/>
    <col min="5" max="16384" width="11.42578125" style="11"/>
  </cols>
  <sheetData>
    <row r="1" spans="1:7" ht="15.75" thickBot="1" x14ac:dyDescent="0.3"/>
    <row r="2" spans="1:7" ht="16.5" thickBot="1" x14ac:dyDescent="0.3">
      <c r="A2" s="244" t="s">
        <v>139</v>
      </c>
      <c r="B2" s="245"/>
      <c r="C2" s="245"/>
      <c r="D2" s="246"/>
      <c r="E2" s="36"/>
      <c r="F2" s="36"/>
      <c r="G2" s="36"/>
    </row>
    <row r="4" spans="1:7" ht="15.75" thickBot="1" x14ac:dyDescent="0.3"/>
    <row r="5" spans="1:7" x14ac:dyDescent="0.25">
      <c r="A5" s="236" t="s">
        <v>140</v>
      </c>
      <c r="B5" s="238" t="s">
        <v>141</v>
      </c>
      <c r="C5" s="240" t="s">
        <v>142</v>
      </c>
      <c r="D5" s="242" t="s">
        <v>143</v>
      </c>
    </row>
    <row r="6" spans="1:7" ht="15.75" thickBot="1" x14ac:dyDescent="0.3">
      <c r="A6" s="237"/>
      <c r="B6" s="239"/>
      <c r="C6" s="241"/>
      <c r="D6" s="243"/>
    </row>
    <row r="7" spans="1:7" ht="36.75" x14ac:dyDescent="0.25">
      <c r="A7" s="115" t="s">
        <v>144</v>
      </c>
      <c r="B7" s="116">
        <v>35</v>
      </c>
      <c r="C7" s="117">
        <v>300000</v>
      </c>
      <c r="D7" s="118">
        <f>+B7*C7</f>
        <v>10500000</v>
      </c>
    </row>
    <row r="8" spans="1:7" ht="37.5" thickBot="1" x14ac:dyDescent="0.3">
      <c r="A8" s="119" t="s">
        <v>145</v>
      </c>
      <c r="B8" s="120">
        <v>16</v>
      </c>
      <c r="C8" s="121">
        <v>400000</v>
      </c>
      <c r="D8" s="122">
        <f t="shared" ref="D8" si="0">+B8*C8</f>
        <v>6400000</v>
      </c>
    </row>
    <row r="9" spans="1:7" ht="15.75" thickBot="1" x14ac:dyDescent="0.3">
      <c r="A9" s="75" t="s">
        <v>146</v>
      </c>
      <c r="B9" s="123">
        <f>+B7+B8</f>
        <v>51</v>
      </c>
      <c r="C9" s="124">
        <f>+C7+C8</f>
        <v>700000</v>
      </c>
      <c r="D9" s="124">
        <f>+D7+D8</f>
        <v>16900000</v>
      </c>
    </row>
    <row r="11" spans="1:7" x14ac:dyDescent="0.25">
      <c r="D11" s="125"/>
    </row>
  </sheetData>
  <mergeCells count="5">
    <mergeCell ref="A5:A6"/>
    <mergeCell ref="B5:B6"/>
    <mergeCell ref="C5:C6"/>
    <mergeCell ref="D5:D6"/>
    <mergeCell ref="A2:D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opLeftCell="A7" workbookViewId="0">
      <selection activeCell="B10" sqref="B10:B20"/>
    </sheetView>
  </sheetViews>
  <sheetFormatPr baseColWidth="10" defaultRowHeight="15" x14ac:dyDescent="0.25"/>
  <cols>
    <col min="1" max="1" width="31.28515625" style="11" bestFit="1" customWidth="1"/>
    <col min="2" max="2" width="23.28515625" style="11" bestFit="1" customWidth="1"/>
    <col min="3" max="3" width="17.42578125" style="11" customWidth="1"/>
    <col min="4" max="4" width="14.7109375" style="11" customWidth="1"/>
    <col min="5" max="5" width="16.28515625" style="11" customWidth="1"/>
    <col min="6" max="6" width="11.85546875" style="11" customWidth="1"/>
    <col min="7" max="7" width="15.7109375" style="11" customWidth="1"/>
    <col min="8" max="8" width="11.140625" style="11" customWidth="1"/>
    <col min="9" max="9" width="23.42578125" style="11" customWidth="1"/>
    <col min="10" max="10" width="7.42578125" style="11" customWidth="1"/>
    <col min="11" max="11" width="7.85546875" style="11" customWidth="1"/>
    <col min="12" max="12" width="3" style="11" customWidth="1"/>
    <col min="13" max="13" width="3.28515625" style="11" customWidth="1"/>
    <col min="14" max="14" width="3.85546875" style="11" customWidth="1"/>
    <col min="15" max="15" width="3.140625" style="11" customWidth="1"/>
    <col min="16" max="16" width="4.42578125" style="11" customWidth="1"/>
    <col min="17" max="16384" width="11.42578125" style="11"/>
  </cols>
  <sheetData>
    <row r="1" spans="1:17" s="195" customFormat="1" ht="51.75" customHeight="1" x14ac:dyDescent="0.25">
      <c r="A1" s="198" t="s">
        <v>165</v>
      </c>
      <c r="B1" s="199" t="s">
        <v>166</v>
      </c>
      <c r="C1" s="199" t="s">
        <v>167</v>
      </c>
      <c r="D1" s="199" t="s">
        <v>168</v>
      </c>
      <c r="E1" s="199" t="s">
        <v>169</v>
      </c>
      <c r="F1" s="199" t="s">
        <v>170</v>
      </c>
      <c r="G1" s="200" t="s">
        <v>171</v>
      </c>
      <c r="H1" s="193"/>
      <c r="I1" s="193"/>
      <c r="J1" s="193"/>
      <c r="K1" s="193"/>
      <c r="L1" s="193"/>
      <c r="M1" s="193"/>
      <c r="N1" s="193"/>
      <c r="O1" s="193"/>
      <c r="P1" s="193"/>
      <c r="Q1" s="194"/>
    </row>
    <row r="2" spans="1:17" ht="27" customHeight="1" x14ac:dyDescent="0.25">
      <c r="A2" s="201"/>
      <c r="B2" s="170"/>
      <c r="C2" s="170"/>
      <c r="D2" s="170"/>
      <c r="E2" s="170"/>
      <c r="F2" s="170"/>
      <c r="G2" s="206" t="s">
        <v>222</v>
      </c>
      <c r="H2" s="171"/>
      <c r="I2" s="171"/>
      <c r="J2" s="171"/>
      <c r="K2" s="36"/>
      <c r="L2" s="36"/>
      <c r="M2" s="36"/>
      <c r="N2" s="36"/>
      <c r="O2" s="36"/>
      <c r="P2" s="36"/>
      <c r="Q2" s="36"/>
    </row>
    <row r="3" spans="1:17" x14ac:dyDescent="0.25">
      <c r="A3" s="202" t="s">
        <v>172</v>
      </c>
      <c r="B3" s="103" t="s">
        <v>173</v>
      </c>
      <c r="C3" s="103" t="s">
        <v>174</v>
      </c>
      <c r="D3" s="208">
        <v>3</v>
      </c>
      <c r="E3" s="208">
        <v>2</v>
      </c>
      <c r="F3" s="208">
        <v>2</v>
      </c>
      <c r="G3" s="205" t="s">
        <v>175</v>
      </c>
      <c r="H3" s="36" t="s">
        <v>60</v>
      </c>
      <c r="I3" s="36"/>
      <c r="J3" s="36"/>
      <c r="K3" s="36"/>
      <c r="L3" s="36"/>
      <c r="M3" s="36"/>
      <c r="N3" s="36"/>
      <c r="O3" s="36"/>
      <c r="P3" s="36"/>
      <c r="Q3" s="36"/>
    </row>
    <row r="4" spans="1:17" x14ac:dyDescent="0.25">
      <c r="A4" s="202"/>
      <c r="B4" s="103"/>
      <c r="C4" s="103" t="s">
        <v>176</v>
      </c>
      <c r="D4" s="208">
        <v>4</v>
      </c>
      <c r="E4" s="208">
        <v>2</v>
      </c>
      <c r="F4" s="208">
        <v>3</v>
      </c>
      <c r="G4" s="205" t="s">
        <v>175</v>
      </c>
      <c r="H4" s="36" t="s">
        <v>60</v>
      </c>
      <c r="I4" s="36"/>
      <c r="J4" s="36"/>
      <c r="K4" s="36"/>
      <c r="L4" s="36"/>
      <c r="M4" s="36"/>
      <c r="N4" s="36"/>
      <c r="O4" s="36"/>
      <c r="P4" s="36"/>
      <c r="Q4" s="36"/>
    </row>
    <row r="5" spans="1:17" ht="15.75" thickBot="1" x14ac:dyDescent="0.3">
      <c r="A5" s="203"/>
      <c r="B5" s="204"/>
      <c r="C5" s="204" t="s">
        <v>177</v>
      </c>
      <c r="D5" s="209">
        <v>4</v>
      </c>
      <c r="E5" s="209">
        <v>2</v>
      </c>
      <c r="F5" s="209">
        <v>3</v>
      </c>
      <c r="G5" s="207" t="s">
        <v>175</v>
      </c>
      <c r="H5" s="36" t="s">
        <v>60</v>
      </c>
      <c r="I5" s="36"/>
      <c r="J5" s="36"/>
      <c r="K5" s="36"/>
      <c r="L5" s="36"/>
      <c r="M5" s="36"/>
      <c r="N5" s="36"/>
      <c r="O5" s="36"/>
      <c r="P5" s="36"/>
      <c r="Q5" s="36"/>
    </row>
    <row r="6" spans="1:17" s="70" customFormat="1" ht="15.75" thickBot="1" x14ac:dyDescent="0.3">
      <c r="A6" s="75" t="s">
        <v>178</v>
      </c>
      <c r="B6" s="196"/>
      <c r="C6" s="210">
        <v>3</v>
      </c>
      <c r="D6" s="210">
        <v>11</v>
      </c>
      <c r="E6" s="210">
        <v>6</v>
      </c>
      <c r="F6" s="210">
        <v>8</v>
      </c>
      <c r="G6" s="197"/>
      <c r="H6" s="64"/>
      <c r="I6" s="64"/>
      <c r="J6" s="64"/>
      <c r="K6" s="64"/>
      <c r="L6" s="64"/>
      <c r="M6" s="64"/>
      <c r="N6" s="64"/>
      <c r="O6" s="64"/>
      <c r="P6" s="64"/>
      <c r="Q6" s="64"/>
    </row>
    <row r="7" spans="1:17" x14ac:dyDescent="0.25">
      <c r="G7" s="172"/>
      <c r="H7" s="36"/>
      <c r="I7" s="36"/>
      <c r="J7" s="36"/>
      <c r="K7" s="36"/>
      <c r="L7" s="36"/>
      <c r="M7" s="36"/>
      <c r="N7" s="36"/>
      <c r="O7" s="36"/>
      <c r="P7" s="36"/>
      <c r="Q7" s="36"/>
    </row>
    <row r="9" spans="1:17" ht="48.75" customHeight="1" x14ac:dyDescent="0.25">
      <c r="A9" s="22" t="s">
        <v>179</v>
      </c>
      <c r="B9" s="22" t="s">
        <v>165</v>
      </c>
      <c r="C9" s="22" t="s">
        <v>180</v>
      </c>
      <c r="D9" s="22" t="s">
        <v>181</v>
      </c>
      <c r="E9" s="173" t="s">
        <v>182</v>
      </c>
      <c r="F9" s="174" t="s">
        <v>183</v>
      </c>
      <c r="G9" s="175" t="s">
        <v>184</v>
      </c>
      <c r="H9" s="103"/>
      <c r="I9" s="176" t="s">
        <v>185</v>
      </c>
    </row>
    <row r="10" spans="1:17" x14ac:dyDescent="0.25">
      <c r="A10" s="177">
        <v>1</v>
      </c>
      <c r="B10" s="178" t="s">
        <v>186</v>
      </c>
      <c r="C10" s="179">
        <v>13975613.229843169</v>
      </c>
      <c r="D10" s="179" t="s">
        <v>187</v>
      </c>
      <c r="E10" s="179" t="s">
        <v>177</v>
      </c>
      <c r="F10" s="179">
        <v>1</v>
      </c>
      <c r="G10" s="180" t="s">
        <v>188</v>
      </c>
      <c r="H10" s="181"/>
      <c r="I10" s="181"/>
    </row>
    <row r="11" spans="1:17" x14ac:dyDescent="0.25">
      <c r="A11" s="182">
        <v>2</v>
      </c>
      <c r="B11" s="181" t="s">
        <v>189</v>
      </c>
      <c r="C11" s="179">
        <v>13975613.229843169</v>
      </c>
      <c r="D11" s="179" t="s">
        <v>187</v>
      </c>
      <c r="E11" s="183" t="s">
        <v>177</v>
      </c>
      <c r="F11" s="183">
        <v>2</v>
      </c>
      <c r="G11" s="181" t="s">
        <v>190</v>
      </c>
      <c r="H11" s="181"/>
      <c r="I11" s="181"/>
    </row>
    <row r="12" spans="1:17" x14ac:dyDescent="0.25">
      <c r="A12" s="182">
        <v>3</v>
      </c>
      <c r="B12" s="181" t="s">
        <v>189</v>
      </c>
      <c r="C12" s="179">
        <v>13975613.229843169</v>
      </c>
      <c r="D12" s="179" t="s">
        <v>187</v>
      </c>
      <c r="E12" s="183" t="s">
        <v>177</v>
      </c>
      <c r="F12" s="183">
        <v>3</v>
      </c>
      <c r="G12" s="181" t="s">
        <v>191</v>
      </c>
      <c r="H12" s="181"/>
      <c r="I12" s="181"/>
    </row>
    <row r="13" spans="1:17" x14ac:dyDescent="0.25">
      <c r="A13" s="182">
        <v>4</v>
      </c>
      <c r="B13" s="181" t="s">
        <v>189</v>
      </c>
      <c r="C13" s="179">
        <v>13975613.229843169</v>
      </c>
      <c r="D13" s="179" t="s">
        <v>187</v>
      </c>
      <c r="E13" s="183" t="s">
        <v>177</v>
      </c>
      <c r="F13" s="183">
        <v>4</v>
      </c>
      <c r="G13" s="181" t="s">
        <v>192</v>
      </c>
      <c r="H13" s="181"/>
      <c r="I13" s="181"/>
    </row>
    <row r="14" spans="1:17" x14ac:dyDescent="0.25">
      <c r="A14" s="182">
        <v>36</v>
      </c>
      <c r="B14" s="181" t="s">
        <v>189</v>
      </c>
      <c r="C14" s="179">
        <v>13975613.229843169</v>
      </c>
      <c r="D14" s="179" t="s">
        <v>187</v>
      </c>
      <c r="E14" s="183" t="s">
        <v>174</v>
      </c>
      <c r="F14" s="183">
        <v>1</v>
      </c>
      <c r="G14" s="181" t="s">
        <v>193</v>
      </c>
      <c r="H14" s="181"/>
      <c r="I14" s="181"/>
    </row>
    <row r="15" spans="1:17" x14ac:dyDescent="0.25">
      <c r="A15" s="182">
        <v>37</v>
      </c>
      <c r="B15" s="181" t="s">
        <v>189</v>
      </c>
      <c r="C15" s="179">
        <v>13975613.229843169</v>
      </c>
      <c r="D15" s="179" t="s">
        <v>187</v>
      </c>
      <c r="E15" s="183" t="s">
        <v>174</v>
      </c>
      <c r="F15" s="183">
        <v>2</v>
      </c>
      <c r="G15" s="181" t="s">
        <v>194</v>
      </c>
      <c r="H15" s="181"/>
      <c r="I15" s="181"/>
    </row>
    <row r="16" spans="1:17" x14ac:dyDescent="0.25">
      <c r="A16" s="182">
        <v>38</v>
      </c>
      <c r="B16" s="181" t="s">
        <v>189</v>
      </c>
      <c r="C16" s="179">
        <v>13975613.229843169</v>
      </c>
      <c r="D16" s="179" t="s">
        <v>187</v>
      </c>
      <c r="E16" s="183" t="s">
        <v>174</v>
      </c>
      <c r="F16" s="183">
        <v>3</v>
      </c>
      <c r="G16" s="181" t="s">
        <v>195</v>
      </c>
      <c r="H16" s="181"/>
      <c r="I16" s="181"/>
    </row>
    <row r="17" spans="1:9" x14ac:dyDescent="0.25">
      <c r="A17" s="182">
        <v>44</v>
      </c>
      <c r="B17" s="181" t="s">
        <v>189</v>
      </c>
      <c r="C17" s="179">
        <v>13975613.229843169</v>
      </c>
      <c r="D17" s="179" t="s">
        <v>187</v>
      </c>
      <c r="E17" s="183" t="s">
        <v>176</v>
      </c>
      <c r="F17" s="183">
        <v>1</v>
      </c>
      <c r="G17" s="181" t="s">
        <v>196</v>
      </c>
      <c r="H17" s="181"/>
      <c r="I17" s="181"/>
    </row>
    <row r="18" spans="1:9" x14ac:dyDescent="0.25">
      <c r="A18" s="182">
        <v>45</v>
      </c>
      <c r="B18" s="181" t="s">
        <v>189</v>
      </c>
      <c r="C18" s="179">
        <v>13975613.229843169</v>
      </c>
      <c r="D18" s="179" t="s">
        <v>187</v>
      </c>
      <c r="E18" s="183" t="s">
        <v>176</v>
      </c>
      <c r="F18" s="183">
        <v>2</v>
      </c>
      <c r="G18" s="181" t="s">
        <v>197</v>
      </c>
      <c r="H18" s="181"/>
      <c r="I18" s="181"/>
    </row>
    <row r="19" spans="1:9" x14ac:dyDescent="0.25">
      <c r="A19" s="182">
        <v>46</v>
      </c>
      <c r="B19" s="181" t="s">
        <v>189</v>
      </c>
      <c r="C19" s="179">
        <v>13975613.229843169</v>
      </c>
      <c r="D19" s="179" t="s">
        <v>187</v>
      </c>
      <c r="E19" s="183" t="s">
        <v>176</v>
      </c>
      <c r="F19" s="183">
        <v>3</v>
      </c>
      <c r="G19" s="181" t="s">
        <v>198</v>
      </c>
      <c r="H19" s="181"/>
      <c r="I19" s="181"/>
    </row>
    <row r="20" spans="1:9" x14ac:dyDescent="0.25">
      <c r="A20" s="182">
        <v>47</v>
      </c>
      <c r="B20" s="181" t="s">
        <v>189</v>
      </c>
      <c r="C20" s="179">
        <v>13975613.229843169</v>
      </c>
      <c r="D20" s="179" t="s">
        <v>187</v>
      </c>
      <c r="E20" s="183" t="s">
        <v>176</v>
      </c>
      <c r="F20" s="183">
        <v>4</v>
      </c>
      <c r="G20" s="181" t="s">
        <v>199</v>
      </c>
      <c r="H20" s="181"/>
      <c r="I20" s="181"/>
    </row>
    <row r="21" spans="1:9" x14ac:dyDescent="0.25">
      <c r="A21" s="184">
        <v>97</v>
      </c>
      <c r="B21" s="184" t="s">
        <v>200</v>
      </c>
      <c r="C21" s="185">
        <v>2127314.9651480191</v>
      </c>
      <c r="D21" s="185" t="s">
        <v>201</v>
      </c>
      <c r="E21" s="186" t="s">
        <v>176</v>
      </c>
      <c r="F21" s="186">
        <v>1</v>
      </c>
      <c r="G21" s="184" t="s">
        <v>202</v>
      </c>
      <c r="H21" s="184"/>
      <c r="I21" s="184"/>
    </row>
    <row r="22" spans="1:9" x14ac:dyDescent="0.25">
      <c r="A22" s="184">
        <v>98</v>
      </c>
      <c r="B22" s="184" t="s">
        <v>203</v>
      </c>
      <c r="C22" s="185">
        <v>2127314.9651480191</v>
      </c>
      <c r="D22" s="185" t="s">
        <v>201</v>
      </c>
      <c r="E22" s="186" t="s">
        <v>176</v>
      </c>
      <c r="F22" s="186">
        <v>1</v>
      </c>
      <c r="G22" s="184" t="s">
        <v>204</v>
      </c>
      <c r="H22" s="184"/>
      <c r="I22" s="184"/>
    </row>
    <row r="23" spans="1:9" x14ac:dyDescent="0.25">
      <c r="A23" s="184">
        <v>118</v>
      </c>
      <c r="B23" s="184" t="s">
        <v>200</v>
      </c>
      <c r="C23" s="185">
        <v>2127314.9651480191</v>
      </c>
      <c r="D23" s="185" t="s">
        <v>201</v>
      </c>
      <c r="E23" s="186" t="s">
        <v>174</v>
      </c>
      <c r="F23" s="186">
        <v>1</v>
      </c>
      <c r="G23" s="184" t="s">
        <v>205</v>
      </c>
      <c r="H23" s="184"/>
      <c r="I23" s="184"/>
    </row>
    <row r="24" spans="1:9" x14ac:dyDescent="0.25">
      <c r="A24" s="184">
        <v>119</v>
      </c>
      <c r="B24" s="184" t="s">
        <v>203</v>
      </c>
      <c r="C24" s="185">
        <v>2127314.9651480191</v>
      </c>
      <c r="D24" s="185" t="s">
        <v>201</v>
      </c>
      <c r="E24" s="186" t="s">
        <v>174</v>
      </c>
      <c r="F24" s="186">
        <v>1</v>
      </c>
      <c r="G24" s="184" t="s">
        <v>206</v>
      </c>
      <c r="H24" s="184"/>
      <c r="I24" s="184"/>
    </row>
    <row r="25" spans="1:9" x14ac:dyDescent="0.25">
      <c r="A25" s="184">
        <v>122</v>
      </c>
      <c r="B25" s="184" t="s">
        <v>200</v>
      </c>
      <c r="C25" s="185">
        <v>2127314.9651480191</v>
      </c>
      <c r="D25" s="185" t="s">
        <v>201</v>
      </c>
      <c r="E25" s="186" t="s">
        <v>177</v>
      </c>
      <c r="F25" s="186">
        <v>1</v>
      </c>
      <c r="G25" s="184" t="s">
        <v>207</v>
      </c>
      <c r="H25" s="184"/>
      <c r="I25" s="184"/>
    </row>
    <row r="26" spans="1:9" ht="15.75" thickBot="1" x14ac:dyDescent="0.3">
      <c r="A26" s="184">
        <v>123</v>
      </c>
      <c r="B26" s="184" t="s">
        <v>203</v>
      </c>
      <c r="C26" s="185">
        <v>2127314.9651480191</v>
      </c>
      <c r="D26" s="185" t="s">
        <v>201</v>
      </c>
      <c r="E26" s="186" t="s">
        <v>177</v>
      </c>
      <c r="F26" s="186">
        <v>1</v>
      </c>
      <c r="G26" s="184" t="s">
        <v>208</v>
      </c>
      <c r="H26" s="184"/>
      <c r="I26" s="184"/>
    </row>
    <row r="27" spans="1:9" ht="15.75" thickBot="1" x14ac:dyDescent="0.3">
      <c r="A27" s="187">
        <v>137</v>
      </c>
      <c r="B27" s="188" t="s">
        <v>209</v>
      </c>
      <c r="C27" s="189">
        <v>9260076.9071149062</v>
      </c>
      <c r="D27" s="190" t="s">
        <v>210</v>
      </c>
      <c r="E27" s="191" t="s">
        <v>176</v>
      </c>
      <c r="F27" s="191">
        <v>1</v>
      </c>
      <c r="G27" s="188" t="s">
        <v>211</v>
      </c>
      <c r="H27" s="188"/>
      <c r="I27" s="188"/>
    </row>
    <row r="28" spans="1:9" ht="15.75" thickBot="1" x14ac:dyDescent="0.3">
      <c r="A28" s="187">
        <v>138</v>
      </c>
      <c r="B28" s="188" t="s">
        <v>212</v>
      </c>
      <c r="C28" s="189">
        <v>65592211.425397247</v>
      </c>
      <c r="D28" s="190" t="s">
        <v>210</v>
      </c>
      <c r="E28" s="191" t="s">
        <v>176</v>
      </c>
      <c r="F28" s="191">
        <v>1</v>
      </c>
      <c r="G28" s="188" t="s">
        <v>213</v>
      </c>
      <c r="H28" s="188"/>
      <c r="I28" s="188"/>
    </row>
    <row r="29" spans="1:9" ht="15.75" thickBot="1" x14ac:dyDescent="0.3">
      <c r="A29" s="187">
        <v>139</v>
      </c>
      <c r="B29" s="188" t="s">
        <v>203</v>
      </c>
      <c r="C29" s="189">
        <v>10252580.85702277</v>
      </c>
      <c r="D29" s="190" t="s">
        <v>210</v>
      </c>
      <c r="E29" s="191" t="s">
        <v>176</v>
      </c>
      <c r="F29" s="191">
        <v>1</v>
      </c>
      <c r="G29" s="188" t="s">
        <v>214</v>
      </c>
      <c r="H29" s="188"/>
      <c r="I29" s="188"/>
    </row>
    <row r="30" spans="1:9" ht="15.75" thickBot="1" x14ac:dyDescent="0.3">
      <c r="A30" s="187">
        <v>170</v>
      </c>
      <c r="B30" s="188" t="s">
        <v>209</v>
      </c>
      <c r="C30" s="189">
        <v>9260076.9071149062</v>
      </c>
      <c r="D30" s="190" t="s">
        <v>210</v>
      </c>
      <c r="E30" s="191" t="s">
        <v>174</v>
      </c>
      <c r="F30" s="191">
        <v>1</v>
      </c>
      <c r="G30" s="188" t="s">
        <v>215</v>
      </c>
      <c r="H30" s="188"/>
      <c r="I30" s="188"/>
    </row>
    <row r="31" spans="1:9" ht="15.75" thickBot="1" x14ac:dyDescent="0.3">
      <c r="A31" s="187">
        <v>171</v>
      </c>
      <c r="B31" s="188" t="s">
        <v>203</v>
      </c>
      <c r="C31" s="189">
        <v>10252580.85702277</v>
      </c>
      <c r="D31" s="190" t="s">
        <v>210</v>
      </c>
      <c r="E31" s="191" t="s">
        <v>174</v>
      </c>
      <c r="F31" s="191">
        <v>1</v>
      </c>
      <c r="G31" s="188" t="s">
        <v>216</v>
      </c>
      <c r="H31" s="188"/>
      <c r="I31" s="188"/>
    </row>
    <row r="32" spans="1:9" ht="15.75" thickBot="1" x14ac:dyDescent="0.3">
      <c r="A32" s="187">
        <v>174</v>
      </c>
      <c r="B32" s="188" t="s">
        <v>209</v>
      </c>
      <c r="C32" s="189">
        <v>9260076.9071149062</v>
      </c>
      <c r="D32" s="190" t="s">
        <v>210</v>
      </c>
      <c r="E32" s="191" t="s">
        <v>177</v>
      </c>
      <c r="F32" s="191">
        <v>1</v>
      </c>
      <c r="G32" s="188" t="s">
        <v>217</v>
      </c>
      <c r="H32" s="188"/>
      <c r="I32" s="188"/>
    </row>
    <row r="33" spans="1:9" ht="15.75" thickBot="1" x14ac:dyDescent="0.3">
      <c r="A33" s="187">
        <v>175</v>
      </c>
      <c r="B33" s="188" t="s">
        <v>218</v>
      </c>
      <c r="C33" s="189">
        <v>14311027.947359398</v>
      </c>
      <c r="D33" s="190" t="s">
        <v>210</v>
      </c>
      <c r="E33" s="191" t="s">
        <v>177</v>
      </c>
      <c r="F33" s="191">
        <v>1</v>
      </c>
      <c r="G33" s="188" t="s">
        <v>219</v>
      </c>
      <c r="H33" s="188"/>
      <c r="I33" s="188"/>
    </row>
    <row r="34" spans="1:9" x14ac:dyDescent="0.25">
      <c r="A34" s="187">
        <v>176</v>
      </c>
      <c r="B34" s="188" t="s">
        <v>203</v>
      </c>
      <c r="C34" s="189">
        <v>10252580.85702277</v>
      </c>
      <c r="D34" s="190" t="s">
        <v>210</v>
      </c>
      <c r="E34" s="191" t="s">
        <v>177</v>
      </c>
      <c r="F34" s="191">
        <v>1</v>
      </c>
      <c r="G34" s="188" t="s">
        <v>220</v>
      </c>
      <c r="H34" s="188"/>
      <c r="I34" s="188"/>
    </row>
    <row r="35" spans="1:9" x14ac:dyDescent="0.25">
      <c r="G35" s="247" t="s">
        <v>221</v>
      </c>
      <c r="H35" s="248"/>
      <c r="I35" s="192"/>
    </row>
  </sheetData>
  <mergeCells count="1">
    <mergeCell ref="G35:H35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"/>
  <sheetViews>
    <sheetView workbookViewId="0">
      <selection sqref="A1:B48"/>
    </sheetView>
  </sheetViews>
  <sheetFormatPr baseColWidth="10" defaultRowHeight="15" x14ac:dyDescent="0.25"/>
  <cols>
    <col min="2" max="2" width="11.42578125" style="251"/>
  </cols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CUBICAJE</vt:lpstr>
      <vt:lpstr>TIEMPOS EN BODEGA</vt:lpstr>
      <vt:lpstr>EQUIPOS DE CARGA </vt:lpstr>
      <vt:lpstr>ALMACEN</vt:lpstr>
      <vt:lpstr>COSTOS  DE NOMINA</vt:lpstr>
      <vt:lpstr>STAFF</vt:lpstr>
      <vt:lpstr>Hoja1</vt:lpstr>
      <vt:lpstr>Hoja2</vt:lpstr>
      <vt:lpstr>Hoja3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2012-08-02T22:42:09Z</cp:lastPrinted>
  <dcterms:created xsi:type="dcterms:W3CDTF">2012-07-18T23:45:04Z</dcterms:created>
  <dcterms:modified xsi:type="dcterms:W3CDTF">2012-08-04T00:39:38Z</dcterms:modified>
</cp:coreProperties>
</file>