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importaciones" sheetId="1" r:id="rId1"/>
    <sheet name="exportacion" sheetId="2" r:id="rId2"/>
    <sheet name="cubicaje de la carga " sheetId="3" r:id="rId3"/>
    <sheet name="Hoja1" sheetId="4" r:id="rId4"/>
  </sheets>
  <calcPr calcId="144525"/>
</workbook>
</file>

<file path=xl/calcChain.xml><?xml version="1.0" encoding="utf-8"?>
<calcChain xmlns="http://schemas.openxmlformats.org/spreadsheetml/2006/main">
  <c r="L40" i="2" l="1"/>
  <c r="K48" i="2"/>
  <c r="M3" i="2"/>
  <c r="L3" i="2"/>
  <c r="K3" i="2"/>
  <c r="J3" i="2"/>
  <c r="I3" i="2"/>
  <c r="H3" i="2"/>
  <c r="G3" i="2"/>
  <c r="F3" i="2"/>
  <c r="G35" i="2" s="1"/>
  <c r="I17" i="2"/>
  <c r="G44" i="2" s="1"/>
  <c r="H17" i="2"/>
  <c r="G40" i="2" s="1"/>
  <c r="F17" i="2"/>
  <c r="G17" i="2" s="1"/>
  <c r="G36" i="2" s="1"/>
  <c r="G37" i="2" l="1"/>
  <c r="H35" i="2" s="1"/>
  <c r="G25" i="2"/>
  <c r="F25" i="2" s="1"/>
  <c r="H27" i="2" l="1"/>
  <c r="J40" i="2" s="1"/>
  <c r="G27" i="2"/>
  <c r="J36" i="2" s="1"/>
  <c r="F27" i="2"/>
  <c r="I27" i="2"/>
  <c r="J44" i="2" s="1"/>
  <c r="G23" i="2"/>
  <c r="F23" i="2" s="1"/>
  <c r="Q8" i="3"/>
  <c r="T6" i="3"/>
  <c r="S6" i="3"/>
  <c r="R6" i="3"/>
  <c r="R2" i="3"/>
  <c r="J5" i="3"/>
  <c r="I5" i="3" l="1"/>
  <c r="Q6" i="3"/>
  <c r="P6" i="3"/>
  <c r="P4" i="3"/>
  <c r="P3" i="3"/>
  <c r="P2" i="3"/>
  <c r="F5" i="3"/>
  <c r="G12" i="2"/>
  <c r="F12" i="2" s="1"/>
  <c r="G11" i="2"/>
  <c r="F11" i="2" s="1"/>
  <c r="M5" i="3"/>
  <c r="M5" i="2"/>
  <c r="L5" i="2"/>
  <c r="K5" i="2"/>
  <c r="J5" i="2"/>
  <c r="I5" i="2"/>
  <c r="H5" i="2"/>
  <c r="G5" i="2"/>
  <c r="F5" i="2"/>
  <c r="F43" i="2" s="1"/>
  <c r="M4" i="2"/>
  <c r="L4" i="2"/>
  <c r="L6" i="2" s="1"/>
  <c r="K4" i="2"/>
  <c r="J4" i="2"/>
  <c r="I4" i="2"/>
  <c r="H4" i="2"/>
  <c r="G4" i="2"/>
  <c r="F4" i="2"/>
  <c r="F39" i="2" s="1"/>
  <c r="M6" i="2"/>
  <c r="K6" i="2"/>
  <c r="J6" i="2"/>
  <c r="I6" i="2"/>
  <c r="H6" i="2"/>
  <c r="G6" i="2"/>
  <c r="M4" i="3"/>
  <c r="M3" i="3"/>
  <c r="M2" i="3"/>
  <c r="I4" i="3"/>
  <c r="I3" i="3"/>
  <c r="I2" i="3"/>
  <c r="G39" i="2" l="1"/>
  <c r="G41" i="2" s="1"/>
  <c r="H39" i="2" s="1"/>
  <c r="G42" i="2"/>
  <c r="G43" i="2"/>
  <c r="G45" i="2" s="1"/>
  <c r="H43" i="2" s="1"/>
  <c r="G46" i="2"/>
  <c r="F6" i="2"/>
  <c r="F9" i="2" s="1"/>
  <c r="F35" i="2"/>
  <c r="G38" i="2" s="1"/>
  <c r="N15" i="1"/>
  <c r="N13" i="1"/>
  <c r="N14" i="1"/>
  <c r="H27" i="1"/>
  <c r="H26" i="1"/>
  <c r="H25" i="1"/>
  <c r="H47" i="1"/>
  <c r="H46" i="1"/>
  <c r="H45" i="1"/>
  <c r="E27" i="1"/>
  <c r="E26" i="1"/>
  <c r="E25" i="1"/>
  <c r="F25" i="1"/>
  <c r="F47" i="2" l="1"/>
  <c r="F13" i="2"/>
  <c r="F18" i="2" s="1"/>
  <c r="I40" i="1"/>
  <c r="I36" i="1"/>
  <c r="I32" i="1"/>
  <c r="F27" i="1"/>
  <c r="F26" i="1"/>
  <c r="D27" i="1"/>
  <c r="B40" i="1" s="1"/>
  <c r="D26" i="1"/>
  <c r="B36" i="1" s="1"/>
  <c r="D25" i="1"/>
  <c r="F15" i="1"/>
  <c r="C15" i="1"/>
  <c r="F14" i="1"/>
  <c r="C14" i="1"/>
  <c r="F13" i="1"/>
  <c r="C13" i="1"/>
  <c r="G47" i="2" l="1"/>
  <c r="G49" i="2" s="1"/>
  <c r="H47" i="2" s="1"/>
  <c r="H49" i="2" s="1"/>
  <c r="I47" i="2" s="1"/>
  <c r="I49" i="2" s="1"/>
  <c r="J47" i="2" s="1"/>
  <c r="J49" i="2" s="1"/>
  <c r="I50" i="2"/>
  <c r="H50" i="2"/>
  <c r="G50" i="2"/>
  <c r="J50" i="2"/>
  <c r="F21" i="2"/>
  <c r="G19" i="2"/>
  <c r="H36" i="2" s="1"/>
  <c r="H19" i="2"/>
  <c r="H40" i="2" s="1"/>
  <c r="I19" i="2"/>
  <c r="H44" i="2" s="1"/>
  <c r="G14" i="1"/>
  <c r="I14" i="1" s="1"/>
  <c r="K14" i="1" s="1"/>
  <c r="L14" i="1" s="1"/>
  <c r="M14" i="1" s="1"/>
  <c r="J36" i="1" s="1"/>
  <c r="G13" i="1"/>
  <c r="I13" i="1" s="1"/>
  <c r="K13" i="1" s="1"/>
  <c r="L13" i="1" s="1"/>
  <c r="M13" i="1" s="1"/>
  <c r="J32" i="1" s="1"/>
  <c r="K32" i="1" s="1"/>
  <c r="A40" i="1"/>
  <c r="C40" i="1" s="1"/>
  <c r="A32" i="1"/>
  <c r="L25" i="1"/>
  <c r="F32" i="1"/>
  <c r="I26" i="1"/>
  <c r="I25" i="1"/>
  <c r="K26" i="1"/>
  <c r="B32" i="1"/>
  <c r="G15" i="1"/>
  <c r="A36" i="1"/>
  <c r="C36" i="1" s="1"/>
  <c r="K36" i="1"/>
  <c r="H46" i="2" l="1"/>
  <c r="H45" i="2"/>
  <c r="I43" i="2" s="1"/>
  <c r="H42" i="2"/>
  <c r="H38" i="2"/>
  <c r="F24" i="2"/>
  <c r="F22" i="2"/>
  <c r="F28" i="2" s="1"/>
  <c r="H41" i="2"/>
  <c r="I39" i="2" s="1"/>
  <c r="H37" i="2"/>
  <c r="I35" i="2" s="1"/>
  <c r="K25" i="1"/>
  <c r="C32" i="1"/>
  <c r="I15" i="1"/>
  <c r="K15" i="1" s="1"/>
  <c r="L15" i="1" s="1"/>
  <c r="M15" i="1" s="1"/>
  <c r="K27" i="1"/>
  <c r="F36" i="1"/>
  <c r="L26" i="1"/>
  <c r="G32" i="1"/>
  <c r="G24" i="2" l="1"/>
  <c r="F26" i="2"/>
  <c r="B45" i="1"/>
  <c r="G36" i="1"/>
  <c r="B46" i="1" s="1"/>
  <c r="J40" i="1"/>
  <c r="G26" i="2" l="1"/>
  <c r="I36" i="2" s="1"/>
  <c r="I26" i="2"/>
  <c r="I44" i="2" s="1"/>
  <c r="H26" i="2"/>
  <c r="I40" i="2" s="1"/>
  <c r="E46" i="1"/>
  <c r="I46" i="1"/>
  <c r="D45" i="1"/>
  <c r="I45" i="1"/>
  <c r="C45" i="1"/>
  <c r="G45" i="1"/>
  <c r="E45" i="1"/>
  <c r="F45" i="1"/>
  <c r="K40" i="1"/>
  <c r="L27" i="1"/>
  <c r="F40" i="1"/>
  <c r="I27" i="1"/>
  <c r="D46" i="1"/>
  <c r="G46" i="1"/>
  <c r="F46" i="1"/>
  <c r="C46" i="1"/>
  <c r="I37" i="2" l="1"/>
  <c r="J35" i="2" s="1"/>
  <c r="J37" i="2" s="1"/>
  <c r="I38" i="2"/>
  <c r="J38" i="2"/>
  <c r="I41" i="2"/>
  <c r="J39" i="2" s="1"/>
  <c r="J41" i="2" s="1"/>
  <c r="J42" i="2"/>
  <c r="I42" i="2"/>
  <c r="I45" i="2"/>
  <c r="J43" i="2" s="1"/>
  <c r="J45" i="2" s="1"/>
  <c r="J46" i="2"/>
  <c r="I46" i="2"/>
  <c r="G40" i="1"/>
  <c r="B47" i="1" s="1"/>
  <c r="E47" i="1" l="1"/>
  <c r="I47" i="1"/>
  <c r="F47" i="1"/>
  <c r="C47" i="1"/>
  <c r="D47" i="1"/>
  <c r="G47" i="1"/>
</calcChain>
</file>

<file path=xl/sharedStrings.xml><?xml version="1.0" encoding="utf-8"?>
<sst xmlns="http://schemas.openxmlformats.org/spreadsheetml/2006/main" count="200" uniqueCount="146">
  <si>
    <t>COSTOS DE IMPORTACION DE PRODUCTOS QUIRURGICOS MIAMI-CARTAGENA</t>
  </si>
  <si>
    <t>OPCIONES</t>
  </si>
  <si>
    <t>1-</t>
  </si>
  <si>
    <t>3-20 PIES</t>
  </si>
  <si>
    <t>13-20 PIES REFRIGERADOS</t>
  </si>
  <si>
    <t>2-</t>
  </si>
  <si>
    <t>1-40 PIES HC</t>
  </si>
  <si>
    <t>3-</t>
  </si>
  <si>
    <t>1-20 PIES</t>
  </si>
  <si>
    <t>10-40 PIES REFRIGERADOS</t>
  </si>
  <si>
    <t>6-40PIES REFRIGERADOS</t>
  </si>
  <si>
    <t>VALORES EN REALCION POR CONTENEDOR</t>
  </si>
  <si>
    <t>20 PIES</t>
  </si>
  <si>
    <t>REFERENCIA</t>
  </si>
  <si>
    <t>VALOR FLETE</t>
  </si>
  <si>
    <t>40 PIES</t>
  </si>
  <si>
    <t>20 PIES REFRI</t>
  </si>
  <si>
    <t>40 PIES REFRI</t>
  </si>
  <si>
    <t>40 PIES HC</t>
  </si>
  <si>
    <t>CONTENEDOR SECO</t>
  </si>
  <si>
    <t>COSTO CONTENEDOR SECO</t>
  </si>
  <si>
    <t>SEGURO</t>
  </si>
  <si>
    <t>CONT-REFRIG</t>
  </si>
  <si>
    <t>COSTO-CON-REF</t>
  </si>
  <si>
    <t>TOTAL CIF - CARTAGENA</t>
  </si>
  <si>
    <t>VALOR-CARGA</t>
  </si>
  <si>
    <t>COSTO TOTAL DE CARGA</t>
  </si>
  <si>
    <t>VALOR DÓLAR</t>
  </si>
  <si>
    <t>COSTO EN PESO COL</t>
  </si>
  <si>
    <t>VALOR TOTAL</t>
  </si>
  <si>
    <t>IMPUESTO IVA</t>
  </si>
  <si>
    <t>COSTO EN DOLARES</t>
  </si>
  <si>
    <t>PESOS COLOMBIANOS</t>
  </si>
  <si>
    <t>COSTOS DE IMPORTACION DE PRODUCTOS QUIRURGICOS CARTAGENA - BOGOTA</t>
  </si>
  <si>
    <t>CONTENEDOR DE 40 PIES</t>
  </si>
  <si>
    <t>CONTENEDOR DE 20 PIES</t>
  </si>
  <si>
    <t>COSTO TRANSPORTE POR CONTENEDOR</t>
  </si>
  <si>
    <t>COSTO AGENTE DE ADUANA (0.5%)</t>
  </si>
  <si>
    <t>COSTO DE ALMACENAMIENTO EN PUERTO</t>
  </si>
  <si>
    <t>BODEGAJE DE LA CARGA</t>
  </si>
  <si>
    <t>SEGUROS(0.5)</t>
  </si>
  <si>
    <t xml:space="preserve"> </t>
  </si>
  <si>
    <t>COSTO DE LA CARGA EN BOGOTA</t>
  </si>
  <si>
    <t>IMPUESTO ARANCEL</t>
  </si>
  <si>
    <t>COSTO EN MIAMI SIN IMPUESTOS</t>
  </si>
  <si>
    <t>COSTO EN COLOMBIA</t>
  </si>
  <si>
    <t>OPCION 1</t>
  </si>
  <si>
    <t>EXTRANJERO</t>
  </si>
  <si>
    <t>NACIONAL</t>
  </si>
  <si>
    <t>TOTAL</t>
  </si>
  <si>
    <t>% TRANS EXTRAN</t>
  </si>
  <si>
    <t>OPCION 2</t>
  </si>
  <si>
    <t>% TRANS N/NAL</t>
  </si>
  <si>
    <t>%AGENTES N/NAL</t>
  </si>
  <si>
    <t>%SEGURO EXTRANJERO</t>
  </si>
  <si>
    <t>%SEGURO NACIONAL</t>
  </si>
  <si>
    <t>OPCION 3</t>
  </si>
  <si>
    <t>TOTAL GASTOS</t>
  </si>
  <si>
    <t>GASTOS TRANSPORTE (OPCION 1)</t>
  </si>
  <si>
    <t>GASTOS AGENTES (OPCION 1)</t>
  </si>
  <si>
    <t>GASTOS SEGUROS (OPCION 1)</t>
  </si>
  <si>
    <t>GASTOS TRANSPORTE (OPCION 2)</t>
  </si>
  <si>
    <t>GASTOS AGENTES (OPCION 2)</t>
  </si>
  <si>
    <t>GASTOS SEGUROS (OPCION 2)</t>
  </si>
  <si>
    <t>GASTOS SEGUROS (OPCION 3)</t>
  </si>
  <si>
    <t>GASTOS AGENTES (OPCION 3)</t>
  </si>
  <si>
    <t>GASTOS TRANSPORTE (OPCION 3)</t>
  </si>
  <si>
    <t>GASTOS DE TRANSPORTE -AGENTES-SEGUROS</t>
  </si>
  <si>
    <t>PORCENTAJE EN GASTOS</t>
  </si>
  <si>
    <t>GASTO DE PUERTO</t>
  </si>
  <si>
    <t>%GASTOS DE PUERTO</t>
  </si>
  <si>
    <t>DÓLAR DE IMPORTACION</t>
  </si>
  <si>
    <t xml:space="preserve">COSTO DE EXPORTACION  DE BOGOTA A CARTAGENA </t>
  </si>
  <si>
    <t>automovil</t>
  </si>
  <si>
    <t>cajas</t>
  </si>
  <si>
    <t>buses</t>
  </si>
  <si>
    <t>motos</t>
  </si>
  <si>
    <t>cajas con juegos de pastillas</t>
  </si>
  <si>
    <t>cubicaje</t>
  </si>
  <si>
    <t>unidad</t>
  </si>
  <si>
    <t>mt3</t>
  </si>
  <si>
    <t>peso kg</t>
  </si>
  <si>
    <t>contenedor  40 pies</t>
  </si>
  <si>
    <t>contenedor 20 pies</t>
  </si>
  <si>
    <t>estibas</t>
  </si>
  <si>
    <t>cajas por  estiba</t>
  </si>
  <si>
    <t>cant con 40</t>
  </si>
  <si>
    <t>estibas sobrantes</t>
  </si>
  <si>
    <t>estiba por conte 40</t>
  </si>
  <si>
    <t>cant con 20</t>
  </si>
  <si>
    <t>COSTO DE LA CARGA PARA AUTOMOVIL</t>
  </si>
  <si>
    <t>DIA 1</t>
  </si>
  <si>
    <t>DIA 2</t>
  </si>
  <si>
    <t>DIA 3</t>
  </si>
  <si>
    <t>DIA 4</t>
  </si>
  <si>
    <t>DIA 5</t>
  </si>
  <si>
    <t>DIA 6</t>
  </si>
  <si>
    <t>DIA 7</t>
  </si>
  <si>
    <t>DIA 8</t>
  </si>
  <si>
    <t>COSTO DE LA CARGA PARA BUSES</t>
  </si>
  <si>
    <t>COSTO DE LA CARGA PARA MOTOS</t>
  </si>
  <si>
    <t>COSTO TOTAL DE LA CARGA</t>
  </si>
  <si>
    <t>COSTO TRANSPORTE TERRESTRE</t>
  </si>
  <si>
    <t>PESOS COL</t>
  </si>
  <si>
    <t>DOLARES</t>
  </si>
  <si>
    <t>REVISION ADUANERA</t>
  </si>
  <si>
    <t>ALMACENAMIENTO EN PUERTO</t>
  </si>
  <si>
    <t>COSTO DE LA CARGA EN COLOMBIA</t>
  </si>
  <si>
    <t>SEGUROS</t>
  </si>
  <si>
    <t>tapas de madera</t>
  </si>
  <si>
    <t>valor tapa</t>
  </si>
  <si>
    <t>totales</t>
  </si>
  <si>
    <t>valor estibas</t>
  </si>
  <si>
    <t>zuncho para estibas</t>
  </si>
  <si>
    <t xml:space="preserve">minipel </t>
  </si>
  <si>
    <t>rotulos</t>
  </si>
  <si>
    <t>MANIPULACION EN PUERTO</t>
  </si>
  <si>
    <t>SUBTOTAL COSTOS NACIONALES</t>
  </si>
  <si>
    <t xml:space="preserve">COSTO DE EXPORTACION DE CARTAGENA A ESTOCOLMO </t>
  </si>
  <si>
    <t>COSTO TRANSPORTE MARITIMO</t>
  </si>
  <si>
    <t>DESCARGUE PUERTO DESTINO</t>
  </si>
  <si>
    <t>COSTO FABRICA</t>
  </si>
  <si>
    <t>EXWORK</t>
  </si>
  <si>
    <t>FOB</t>
  </si>
  <si>
    <t>CIF</t>
  </si>
  <si>
    <t>DAT</t>
  </si>
  <si>
    <t>MANO DE OBRA</t>
  </si>
  <si>
    <t>COSTO MANO DE OBRA</t>
  </si>
  <si>
    <t>EMBALAJE</t>
  </si>
  <si>
    <t>AGENTE DE ADUANA</t>
  </si>
  <si>
    <t>el mas viable</t>
  </si>
  <si>
    <t>GRAN TOTAL</t>
  </si>
  <si>
    <t>ESTUDIO DE COSTOS EXPORTACION DE PASTILLAS PARA AUTOMOTORES</t>
  </si>
  <si>
    <t xml:space="preserve">COMENTARIOS </t>
  </si>
  <si>
    <t xml:space="preserve">1- Con el desarrollo de este ejercicio logramos entender los procesos que se necesitan para llevar a cabo  una exportacion </t>
  </si>
  <si>
    <t>y asi mismo determinar cual es el mas conveniente para llegar a una excelente negociacion</t>
  </si>
  <si>
    <t>2-Es importante conocer los procesos que se llevan en cada Incoterms para determinar los costos que genera exportar un producto a cualquier parte del mundo</t>
  </si>
  <si>
    <t>3- Los Incoterms nos permite escoger la opcion mas conveniente para efectuar una negociacion</t>
  </si>
  <si>
    <t>4- Con el ejercicio desarrollado se ccomprendio mas a fondo los procedimientos para la negociacion en una exportacion.</t>
  </si>
  <si>
    <t>COMENTARIOS</t>
  </si>
  <si>
    <t>1- Con el desarrollo de este ejercicio logramos entender los procesos que se necesitan para llevar a cabo  una importacion</t>
  </si>
  <si>
    <t xml:space="preserve">2- Con este ejercicio aprendimos que para realizar una importacion debemos cancelar impuestos  nacionales </t>
  </si>
  <si>
    <t xml:space="preserve">3- Entendimos el proceso que se debe llevar al realizar una importacion desde un puerto extranjero a un puerto nacional por un medio de transporte </t>
  </si>
  <si>
    <t>5- Es importante determinar el tipo de embalaje en que se transporta la mercancia para optimizar costos.</t>
  </si>
  <si>
    <t>6. Entendimos que el mayor porcentaje de los costos que se invierte en una exportacion corresponde al transporte</t>
  </si>
  <si>
    <t>4. Entendimos que el mayor porcentaje de los costos que se invierte en una importacion corresponde al transporte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</si>
</sst>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$-409]* #,##0.00_ ;_-[$$-409]* \-#,##0.00\ ;_-[$$-409]* &quot;-&quot;??_ ;_-@_ "/>
    <numFmt numFmtId="165" formatCode="_-[$$-240A]\ * #,##0.00_ ;_-[$$-240A]\ * \-#,##0.00\ ;_-[$$-240A]\ * &quot;-&quot;??_ ;_-@_ "/>
    <numFmt numFmtId="166" formatCode="[$$-240A]\ #,##0.00"/>
    <numFmt numFmtId="167" formatCode="_-* #,##0_-;\-* #,##0_-;_-* &quot;-&quot;??_-;_-@_-"/>
    <numFmt numFmtId="168" formatCode="[$$-240A]\ #,##0;[Red][$$-240A]\ #,##0"/>
    <numFmt numFmtId="169" formatCode="_-&quot;$&quot;* #,##0_-;\-&quot;$&quot;* #,##0_-;_-&quot;$&quot;* &quot;-&quot;??_-;_-@_-"/>
    <numFmt numFmtId="170" formatCode="[$$-240A]\ #,##0"/>
    <numFmt numFmtId="171" formatCode="&quot;$&quot;#,##0"/>
    <numFmt numFmtId="172" formatCode="_-[$$-409]* #,##0_ ;_-[$$-409]* \-#,##0\ ;_-[$$-409]* &quot;-&quot;??_ ;_-@_ "/>
    <numFmt numFmtId="173" formatCode="0.0%"/>
    <numFmt numFmtId="174" formatCode="0.000%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22"/>
      <color theme="1"/>
      <name val="Algerian"/>
      <family val="5"/>
    </font>
    <font>
      <sz val="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22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color rgb="FF0070C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B050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C000"/>
      <name val="Calibri"/>
      <family val="2"/>
      <scheme val="minor"/>
    </font>
    <font>
      <b/>
      <sz val="11"/>
      <color rgb="FFFFC000"/>
      <name val="Calibri"/>
      <family val="2"/>
      <scheme val="minor"/>
    </font>
    <font>
      <sz val="11"/>
      <color theme="9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54">
    <xf numFmtId="0" fontId="0" fillId="0" borderId="0" xfId="0"/>
    <xf numFmtId="164" fontId="0" fillId="0" borderId="0" xfId="0" applyNumberFormat="1"/>
    <xf numFmtId="0" fontId="0" fillId="0" borderId="1" xfId="0" applyBorder="1"/>
    <xf numFmtId="164" fontId="0" fillId="0" borderId="1" xfId="0" applyNumberFormat="1" applyBorder="1"/>
    <xf numFmtId="164" fontId="0" fillId="0" borderId="0" xfId="0" applyNumberFormat="1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9" fontId="0" fillId="0" borderId="0" xfId="0" applyNumberFormat="1" applyBorder="1"/>
    <xf numFmtId="0" fontId="0" fillId="0" borderId="8" xfId="0" applyBorder="1"/>
    <xf numFmtId="0" fontId="0" fillId="0" borderId="9" xfId="0" applyBorder="1"/>
    <xf numFmtId="3" fontId="0" fillId="0" borderId="1" xfId="0" applyNumberFormat="1" applyBorder="1"/>
    <xf numFmtId="0" fontId="5" fillId="0" borderId="0" xfId="0" applyFont="1" applyAlignment="1">
      <alignment horizontal="center" vertical="center" wrapText="1"/>
    </xf>
    <xf numFmtId="0" fontId="0" fillId="0" borderId="14" xfId="0" applyBorder="1"/>
    <xf numFmtId="164" fontId="0" fillId="0" borderId="15" xfId="0" applyNumberFormat="1" applyBorder="1"/>
    <xf numFmtId="166" fontId="0" fillId="0" borderId="1" xfId="1" applyNumberFormat="1" applyFont="1" applyBorder="1"/>
    <xf numFmtId="1" fontId="0" fillId="0" borderId="1" xfId="0" applyNumberFormat="1" applyBorder="1"/>
    <xf numFmtId="164" fontId="0" fillId="2" borderId="1" xfId="0" applyNumberFormat="1" applyFill="1" applyBorder="1"/>
    <xf numFmtId="0" fontId="0" fillId="2" borderId="1" xfId="0" applyFill="1" applyBorder="1"/>
    <xf numFmtId="0" fontId="0" fillId="3" borderId="2" xfId="0" applyFill="1" applyBorder="1"/>
    <xf numFmtId="0" fontId="0" fillId="3" borderId="3" xfId="0" applyFill="1" applyBorder="1"/>
    <xf numFmtId="164" fontId="0" fillId="3" borderId="3" xfId="0" applyNumberFormat="1" applyFill="1" applyBorder="1"/>
    <xf numFmtId="0" fontId="0" fillId="3" borderId="4" xfId="0" applyFill="1" applyBorder="1"/>
    <xf numFmtId="0" fontId="2" fillId="3" borderId="2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164" fontId="0" fillId="3" borderId="0" xfId="0" applyNumberFormat="1" applyFill="1" applyBorder="1"/>
    <xf numFmtId="0" fontId="0" fillId="3" borderId="14" xfId="0" applyFill="1" applyBorder="1"/>
    <xf numFmtId="164" fontId="0" fillId="3" borderId="1" xfId="0" applyNumberFormat="1" applyFill="1" applyBorder="1"/>
    <xf numFmtId="0" fontId="0" fillId="3" borderId="1" xfId="0" applyFill="1" applyBorder="1"/>
    <xf numFmtId="0" fontId="0" fillId="3" borderId="15" xfId="0" applyFill="1" applyBorder="1"/>
    <xf numFmtId="164" fontId="0" fillId="3" borderId="14" xfId="0" applyNumberFormat="1" applyFill="1" applyBorder="1"/>
    <xf numFmtId="164" fontId="0" fillId="3" borderId="15" xfId="0" applyNumberFormat="1" applyFill="1" applyBorder="1"/>
    <xf numFmtId="0" fontId="0" fillId="3" borderId="7" xfId="0" applyFill="1" applyBorder="1"/>
    <xf numFmtId="164" fontId="0" fillId="3" borderId="8" xfId="0" applyNumberFormat="1" applyFill="1" applyBorder="1"/>
    <xf numFmtId="0" fontId="0" fillId="3" borderId="8" xfId="0" applyFill="1" applyBorder="1"/>
    <xf numFmtId="0" fontId="0" fillId="3" borderId="9" xfId="0" applyFill="1" applyBorder="1"/>
    <xf numFmtId="0" fontId="2" fillId="4" borderId="5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164" fontId="0" fillId="4" borderId="0" xfId="0" applyNumberFormat="1" applyFill="1"/>
    <xf numFmtId="0" fontId="0" fillId="4" borderId="0" xfId="0" applyFill="1"/>
    <xf numFmtId="0" fontId="0" fillId="4" borderId="1" xfId="0" applyFill="1" applyBorder="1"/>
    <xf numFmtId="164" fontId="0" fillId="4" borderId="1" xfId="0" applyNumberFormat="1" applyFill="1" applyBorder="1"/>
    <xf numFmtId="0" fontId="7" fillId="0" borderId="0" xfId="0" applyFont="1"/>
    <xf numFmtId="0" fontId="0" fillId="5" borderId="0" xfId="0" applyFill="1"/>
    <xf numFmtId="0" fontId="2" fillId="6" borderId="2" xfId="0" applyFont="1" applyFill="1" applyBorder="1" applyAlignment="1">
      <alignment horizontal="left"/>
    </xf>
    <xf numFmtId="0" fontId="2" fillId="6" borderId="3" xfId="0" applyFont="1" applyFill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164" fontId="0" fillId="6" borderId="0" xfId="0" applyNumberFormat="1" applyFill="1"/>
    <xf numFmtId="0" fontId="0" fillId="6" borderId="1" xfId="0" applyFill="1" applyBorder="1"/>
    <xf numFmtId="164" fontId="0" fillId="6" borderId="1" xfId="0" applyNumberFormat="1" applyFill="1" applyBorder="1"/>
    <xf numFmtId="0" fontId="0" fillId="6" borderId="0" xfId="0" applyFill="1"/>
    <xf numFmtId="10" fontId="0" fillId="3" borderId="1" xfId="2" applyNumberFormat="1" applyFont="1" applyFill="1" applyBorder="1"/>
    <xf numFmtId="10" fontId="0" fillId="4" borderId="1" xfId="2" applyNumberFormat="1" applyFont="1" applyFill="1" applyBorder="1"/>
    <xf numFmtId="10" fontId="0" fillId="2" borderId="1" xfId="2" applyNumberFormat="1" applyFont="1" applyFill="1" applyBorder="1"/>
    <xf numFmtId="0" fontId="7" fillId="0" borderId="13" xfId="0" applyFont="1" applyBorder="1" applyAlignment="1">
      <alignment horizontal="center"/>
    </xf>
    <xf numFmtId="0" fontId="0" fillId="0" borderId="0" xfId="0" applyBorder="1" applyAlignment="1"/>
    <xf numFmtId="164" fontId="5" fillId="0" borderId="20" xfId="0" applyNumberFormat="1" applyFont="1" applyFill="1" applyBorder="1" applyAlignment="1">
      <alignment horizontal="center" vertical="center" wrapText="1"/>
    </xf>
    <xf numFmtId="164" fontId="5" fillId="0" borderId="24" xfId="0" applyNumberFormat="1" applyFont="1" applyFill="1" applyBorder="1" applyAlignment="1">
      <alignment horizontal="center" vertical="center" wrapText="1"/>
    </xf>
    <xf numFmtId="164" fontId="5" fillId="0" borderId="21" xfId="0" applyNumberFormat="1" applyFont="1" applyFill="1" applyBorder="1" applyAlignment="1">
      <alignment horizontal="center" vertical="center" wrapText="1"/>
    </xf>
    <xf numFmtId="165" fontId="0" fillId="0" borderId="14" xfId="0" applyNumberFormat="1" applyBorder="1"/>
    <xf numFmtId="0" fontId="5" fillId="0" borderId="20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164" fontId="5" fillId="0" borderId="24" xfId="0" applyNumberFormat="1" applyFont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0" fillId="0" borderId="20" xfId="0" applyBorder="1"/>
    <xf numFmtId="0" fontId="0" fillId="0" borderId="24" xfId="0" applyBorder="1"/>
    <xf numFmtId="164" fontId="0" fillId="0" borderId="21" xfId="0" applyNumberFormat="1" applyBorder="1"/>
    <xf numFmtId="0" fontId="0" fillId="0" borderId="22" xfId="0" applyBorder="1"/>
    <xf numFmtId="0" fontId="0" fillId="0" borderId="25" xfId="0" applyBorder="1"/>
    <xf numFmtId="164" fontId="0" fillId="0" borderId="23" xfId="0" applyNumberFormat="1" applyBorder="1"/>
    <xf numFmtId="164" fontId="0" fillId="0" borderId="24" xfId="0" applyNumberFormat="1" applyBorder="1"/>
    <xf numFmtId="164" fontId="0" fillId="0" borderId="4" xfId="0" applyNumberFormat="1" applyBorder="1"/>
    <xf numFmtId="164" fontId="0" fillId="0" borderId="6" xfId="0" applyNumberFormat="1" applyBorder="1"/>
    <xf numFmtId="166" fontId="0" fillId="0" borderId="25" xfId="1" applyNumberFormat="1" applyFont="1" applyBorder="1"/>
    <xf numFmtId="164" fontId="0" fillId="0" borderId="9" xfId="0" applyNumberFormat="1" applyBorder="1"/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164" fontId="5" fillId="0" borderId="27" xfId="0" applyNumberFormat="1" applyFont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164" fontId="5" fillId="0" borderId="27" xfId="0" applyNumberFormat="1" applyFont="1" applyFill="1" applyBorder="1" applyAlignment="1">
      <alignment horizontal="center" vertical="center" wrapText="1"/>
    </xf>
    <xf numFmtId="164" fontId="5" fillId="0" borderId="30" xfId="0" applyNumberFormat="1" applyFont="1" applyFill="1" applyBorder="1" applyAlignment="1">
      <alignment horizontal="center" vertical="center" wrapText="1"/>
    </xf>
    <xf numFmtId="1" fontId="0" fillId="0" borderId="24" xfId="0" applyNumberFormat="1" applyBorder="1"/>
    <xf numFmtId="3" fontId="0" fillId="0" borderId="24" xfId="0" applyNumberFormat="1" applyBorder="1"/>
    <xf numFmtId="1" fontId="0" fillId="0" borderId="25" xfId="0" applyNumberFormat="1" applyBorder="1"/>
    <xf numFmtId="164" fontId="0" fillId="0" borderId="25" xfId="0" applyNumberFormat="1" applyBorder="1"/>
    <xf numFmtId="3" fontId="0" fillId="0" borderId="25" xfId="0" applyNumberFormat="1" applyBorder="1"/>
    <xf numFmtId="0" fontId="5" fillId="0" borderId="33" xfId="0" applyFont="1" applyBorder="1" applyAlignment="1">
      <alignment horizontal="center" vertical="center" wrapText="1"/>
    </xf>
    <xf numFmtId="164" fontId="0" fillId="0" borderId="16" xfId="0" applyNumberFormat="1" applyBorder="1"/>
    <xf numFmtId="164" fontId="0" fillId="0" borderId="34" xfId="0" applyNumberFormat="1" applyBorder="1"/>
    <xf numFmtId="164" fontId="0" fillId="0" borderId="35" xfId="0" applyNumberFormat="1" applyBorder="1"/>
    <xf numFmtId="164" fontId="0" fillId="0" borderId="36" xfId="0" applyNumberFormat="1" applyBorder="1"/>
    <xf numFmtId="164" fontId="7" fillId="0" borderId="1" xfId="0" applyNumberFormat="1" applyFont="1" applyBorder="1"/>
    <xf numFmtId="0" fontId="7" fillId="0" borderId="1" xfId="0" applyFont="1" applyBorder="1"/>
    <xf numFmtId="164" fontId="0" fillId="7" borderId="1" xfId="0" applyNumberFormat="1" applyFill="1" applyBorder="1"/>
    <xf numFmtId="10" fontId="0" fillId="7" borderId="1" xfId="2" applyNumberFormat="1" applyFont="1" applyFill="1" applyBorder="1"/>
    <xf numFmtId="164" fontId="0" fillId="8" borderId="1" xfId="0" applyNumberFormat="1" applyFill="1" applyBorder="1"/>
    <xf numFmtId="10" fontId="0" fillId="8" borderId="1" xfId="2" applyNumberFormat="1" applyFont="1" applyFill="1" applyBorder="1"/>
    <xf numFmtId="0" fontId="0" fillId="0" borderId="1" xfId="0" applyBorder="1" applyAlignment="1">
      <alignment wrapText="1"/>
    </xf>
    <xf numFmtId="1" fontId="0" fillId="0" borderId="0" xfId="0" applyNumberFormat="1"/>
    <xf numFmtId="0" fontId="0" fillId="0" borderId="37" xfId="0" applyFill="1" applyBorder="1" applyAlignment="1">
      <alignment wrapText="1"/>
    </xf>
    <xf numFmtId="0" fontId="9" fillId="0" borderId="37" xfId="0" applyFont="1" applyFill="1" applyBorder="1" applyAlignment="1">
      <alignment wrapText="1"/>
    </xf>
    <xf numFmtId="1" fontId="9" fillId="0" borderId="0" xfId="0" applyNumberFormat="1" applyFont="1"/>
    <xf numFmtId="0" fontId="9" fillId="0" borderId="0" xfId="0" applyFont="1"/>
    <xf numFmtId="167" fontId="0" fillId="0" borderId="0" xfId="3" applyNumberFormat="1" applyFont="1"/>
    <xf numFmtId="0" fontId="2" fillId="0" borderId="1" xfId="0" applyFont="1" applyBorder="1" applyAlignment="1">
      <alignment horizontal="center"/>
    </xf>
    <xf numFmtId="168" fontId="0" fillId="0" borderId="1" xfId="3" applyNumberFormat="1" applyFont="1" applyBorder="1" applyAlignment="1">
      <alignment horizontal="left"/>
    </xf>
    <xf numFmtId="168" fontId="9" fillId="0" borderId="1" xfId="3" applyNumberFormat="1" applyFont="1" applyBorder="1" applyAlignment="1">
      <alignment horizontal="left"/>
    </xf>
    <xf numFmtId="0" fontId="11" fillId="0" borderId="0" xfId="0" applyFont="1"/>
    <xf numFmtId="170" fontId="2" fillId="0" borderId="1" xfId="1" applyNumberFormat="1" applyFont="1" applyBorder="1" applyAlignment="1">
      <alignment horizontal="left"/>
    </xf>
    <xf numFmtId="1" fontId="12" fillId="0" borderId="0" xfId="0" applyNumberFormat="1" applyFont="1"/>
    <xf numFmtId="0" fontId="13" fillId="0" borderId="0" xfId="0" applyFont="1"/>
    <xf numFmtId="169" fontId="0" fillId="0" borderId="0" xfId="1" applyNumberFormat="1" applyFont="1"/>
    <xf numFmtId="167" fontId="10" fillId="0" borderId="1" xfId="3" applyNumberFormat="1" applyFont="1" applyBorder="1" applyAlignment="1">
      <alignment horizontal="center"/>
    </xf>
    <xf numFmtId="170" fontId="10" fillId="0" borderId="1" xfId="1" applyNumberFormat="1" applyFont="1" applyBorder="1" applyAlignment="1">
      <alignment horizontal="left"/>
    </xf>
    <xf numFmtId="0" fontId="14" fillId="0" borderId="1" xfId="0" applyFont="1" applyBorder="1" applyAlignment="1">
      <alignment horizontal="center"/>
    </xf>
    <xf numFmtId="168" fontId="15" fillId="0" borderId="1" xfId="3" applyNumberFormat="1" applyFont="1" applyBorder="1" applyAlignment="1">
      <alignment horizontal="left"/>
    </xf>
    <xf numFmtId="170" fontId="14" fillId="0" borderId="1" xfId="1" applyNumberFormat="1" applyFont="1" applyBorder="1" applyAlignment="1">
      <alignment horizontal="left"/>
    </xf>
    <xf numFmtId="168" fontId="0" fillId="0" borderId="0" xfId="3" applyNumberFormat="1" applyFont="1"/>
    <xf numFmtId="168" fontId="0" fillId="0" borderId="0" xfId="3" applyNumberFormat="1" applyFont="1" applyAlignment="1">
      <alignment horizontal="left"/>
    </xf>
    <xf numFmtId="0" fontId="0" fillId="0" borderId="40" xfId="0" applyBorder="1"/>
    <xf numFmtId="172" fontId="0" fillId="0" borderId="0" xfId="0" applyNumberFormat="1"/>
    <xf numFmtId="172" fontId="0" fillId="0" borderId="40" xfId="0" applyNumberFormat="1" applyBorder="1"/>
    <xf numFmtId="171" fontId="0" fillId="0" borderId="1" xfId="0" applyNumberFormat="1" applyBorder="1"/>
    <xf numFmtId="0" fontId="18" fillId="0" borderId="0" xfId="0" applyFont="1"/>
    <xf numFmtId="168" fontId="19" fillId="0" borderId="40" xfId="3" applyNumberFormat="1" applyFont="1" applyBorder="1"/>
    <xf numFmtId="167" fontId="19" fillId="0" borderId="0" xfId="3" applyNumberFormat="1" applyFont="1"/>
    <xf numFmtId="168" fontId="2" fillId="0" borderId="1" xfId="0" applyNumberFormat="1" applyFont="1" applyBorder="1" applyAlignment="1">
      <alignment horizontal="center"/>
    </xf>
    <xf numFmtId="0" fontId="0" fillId="0" borderId="0" xfId="0" applyBorder="1" applyAlignment="1">
      <alignment horizontal="left"/>
    </xf>
    <xf numFmtId="167" fontId="2" fillId="0" borderId="1" xfId="0" applyNumberFormat="1" applyFont="1" applyBorder="1" applyAlignment="1">
      <alignment horizontal="center"/>
    </xf>
    <xf numFmtId="168" fontId="15" fillId="0" borderId="1" xfId="3" applyNumberFormat="1" applyFont="1" applyBorder="1"/>
    <xf numFmtId="168" fontId="9" fillId="0" borderId="1" xfId="3" applyNumberFormat="1" applyFont="1" applyBorder="1"/>
    <xf numFmtId="168" fontId="0" fillId="3" borderId="0" xfId="3" applyNumberFormat="1" applyFont="1" applyFill="1" applyAlignment="1">
      <alignment horizontal="left"/>
    </xf>
    <xf numFmtId="0" fontId="0" fillId="3" borderId="0" xfId="0" applyFill="1"/>
    <xf numFmtId="167" fontId="0" fillId="0" borderId="1" xfId="3" applyNumberFormat="1" applyFont="1" applyBorder="1"/>
    <xf numFmtId="0" fontId="11" fillId="0" borderId="1" xfId="0" applyFont="1" applyBorder="1"/>
    <xf numFmtId="0" fontId="9" fillId="3" borderId="0" xfId="0" applyFont="1" applyFill="1"/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164" fontId="0" fillId="0" borderId="31" xfId="0" applyNumberFormat="1" applyBorder="1" applyAlignment="1">
      <alignment horizontal="center"/>
    </xf>
    <xf numFmtId="164" fontId="0" fillId="0" borderId="32" xfId="0" applyNumberForma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9" fontId="0" fillId="0" borderId="22" xfId="0" applyNumberFormat="1" applyBorder="1" applyAlignment="1">
      <alignment horizontal="center"/>
    </xf>
    <xf numFmtId="9" fontId="0" fillId="0" borderId="23" xfId="0" applyNumberForma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164" fontId="0" fillId="0" borderId="19" xfId="0" applyNumberFormat="1" applyBorder="1" applyAlignment="1">
      <alignment horizontal="center"/>
    </xf>
    <xf numFmtId="164" fontId="5" fillId="0" borderId="28" xfId="0" applyNumberFormat="1" applyFont="1" applyFill="1" applyBorder="1" applyAlignment="1">
      <alignment horizontal="center" vertical="center" wrapText="1"/>
    </xf>
    <xf numFmtId="164" fontId="5" fillId="0" borderId="29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2" fillId="0" borderId="38" xfId="0" applyFont="1" applyBorder="1" applyAlignment="1">
      <alignment horizontal="left"/>
    </xf>
    <xf numFmtId="0" fontId="2" fillId="0" borderId="39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17" fillId="0" borderId="0" xfId="0" applyFont="1" applyAlignment="1">
      <alignment horizontal="right" vertical="top" textRotation="255" wrapText="1"/>
    </xf>
    <xf numFmtId="0" fontId="18" fillId="0" borderId="0" xfId="0" applyFont="1" applyAlignment="1">
      <alignment horizontal="left"/>
    </xf>
    <xf numFmtId="0" fontId="19" fillId="0" borderId="10" xfId="0" applyFont="1" applyBorder="1" applyAlignment="1">
      <alignment horizontal="center"/>
    </xf>
    <xf numFmtId="0" fontId="19" fillId="0" borderId="11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16" fillId="0" borderId="0" xfId="0" applyFont="1" applyAlignment="1">
      <alignment horizontal="right" vertical="top" textRotation="255" wrapText="1"/>
    </xf>
    <xf numFmtId="0" fontId="0" fillId="0" borderId="16" xfId="0" applyBorder="1" applyAlignment="1">
      <alignment horizontal="left"/>
    </xf>
    <xf numFmtId="167" fontId="0" fillId="0" borderId="14" xfId="3" applyNumberFormat="1" applyFont="1" applyBorder="1"/>
    <xf numFmtId="0" fontId="0" fillId="0" borderId="15" xfId="0" applyBorder="1"/>
    <xf numFmtId="167" fontId="2" fillId="0" borderId="14" xfId="3" applyNumberFormat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167" fontId="10" fillId="3" borderId="41" xfId="3" applyNumberFormat="1" applyFont="1" applyFill="1" applyBorder="1" applyAlignment="1">
      <alignment horizontal="center"/>
    </xf>
    <xf numFmtId="0" fontId="10" fillId="3" borderId="41" xfId="0" applyFont="1" applyFill="1" applyBorder="1" applyAlignment="1">
      <alignment horizontal="center"/>
    </xf>
    <xf numFmtId="168" fontId="2" fillId="0" borderId="15" xfId="0" applyNumberFormat="1" applyFont="1" applyBorder="1" applyAlignment="1">
      <alignment horizontal="center"/>
    </xf>
    <xf numFmtId="167" fontId="19" fillId="0" borderId="20" xfId="3" applyNumberFormat="1" applyFont="1" applyBorder="1" applyAlignment="1">
      <alignment horizontal="center"/>
    </xf>
    <xf numFmtId="167" fontId="19" fillId="0" borderId="24" xfId="0" applyNumberFormat="1" applyFont="1" applyBorder="1" applyAlignment="1">
      <alignment horizontal="center"/>
    </xf>
    <xf numFmtId="167" fontId="24" fillId="0" borderId="20" xfId="3" applyNumberFormat="1" applyFont="1" applyBorder="1" applyAlignment="1">
      <alignment horizontal="center"/>
    </xf>
    <xf numFmtId="167" fontId="24" fillId="0" borderId="24" xfId="0" applyNumberFormat="1" applyFont="1" applyBorder="1" applyAlignment="1">
      <alignment horizontal="center"/>
    </xf>
    <xf numFmtId="168" fontId="19" fillId="0" borderId="24" xfId="0" applyNumberFormat="1" applyFont="1" applyBorder="1" applyAlignment="1">
      <alignment horizontal="center"/>
    </xf>
    <xf numFmtId="0" fontId="19" fillId="0" borderId="21" xfId="0" applyFont="1" applyBorder="1" applyAlignment="1">
      <alignment horizontal="center"/>
    </xf>
    <xf numFmtId="0" fontId="19" fillId="0" borderId="26" xfId="0" applyFont="1" applyBorder="1" applyAlignment="1">
      <alignment horizontal="left"/>
    </xf>
    <xf numFmtId="0" fontId="19" fillId="0" borderId="27" xfId="0" applyFont="1" applyBorder="1" applyAlignment="1">
      <alignment horizontal="left"/>
    </xf>
    <xf numFmtId="0" fontId="19" fillId="0" borderId="30" xfId="0" applyFont="1" applyBorder="1" applyAlignment="1">
      <alignment horizontal="left"/>
    </xf>
    <xf numFmtId="0" fontId="19" fillId="0" borderId="0" xfId="0" applyFont="1"/>
    <xf numFmtId="0" fontId="24" fillId="0" borderId="26" xfId="0" applyFont="1" applyBorder="1" applyAlignment="1">
      <alignment horizontal="left"/>
    </xf>
    <xf numFmtId="0" fontId="24" fillId="0" borderId="27" xfId="0" applyFont="1" applyBorder="1" applyAlignment="1">
      <alignment horizontal="left"/>
    </xf>
    <xf numFmtId="0" fontId="24" fillId="0" borderId="30" xfId="0" applyFont="1" applyBorder="1" applyAlignment="1">
      <alignment horizontal="left"/>
    </xf>
    <xf numFmtId="0" fontId="24" fillId="0" borderId="0" xfId="0" applyFont="1"/>
    <xf numFmtId="0" fontId="24" fillId="0" borderId="21" xfId="0" applyFont="1" applyBorder="1" applyAlignment="1">
      <alignment horizontal="center"/>
    </xf>
    <xf numFmtId="167" fontId="19" fillId="0" borderId="13" xfId="3" applyNumberFormat="1" applyFont="1" applyBorder="1" applyAlignment="1">
      <alignment horizontal="center"/>
    </xf>
    <xf numFmtId="167" fontId="19" fillId="0" borderId="13" xfId="0" applyNumberFormat="1" applyFont="1" applyBorder="1" applyAlignment="1">
      <alignment horizontal="center"/>
    </xf>
    <xf numFmtId="0" fontId="19" fillId="0" borderId="13" xfId="0" applyFont="1" applyBorder="1" applyAlignment="1">
      <alignment horizontal="center"/>
    </xf>
    <xf numFmtId="167" fontId="19" fillId="0" borderId="1" xfId="3" applyNumberFormat="1" applyFont="1" applyBorder="1"/>
    <xf numFmtId="0" fontId="19" fillId="0" borderId="1" xfId="0" applyFont="1" applyBorder="1"/>
    <xf numFmtId="0" fontId="0" fillId="0" borderId="17" xfId="0" applyBorder="1"/>
    <xf numFmtId="168" fontId="19" fillId="0" borderId="1" xfId="3" applyNumberFormat="1" applyFont="1" applyBorder="1" applyAlignment="1">
      <alignment horizontal="left"/>
    </xf>
    <xf numFmtId="0" fontId="18" fillId="0" borderId="1" xfId="0" applyFont="1" applyBorder="1"/>
    <xf numFmtId="168" fontId="22" fillId="0" borderId="1" xfId="3" applyNumberFormat="1" applyFont="1" applyBorder="1" applyAlignment="1">
      <alignment horizontal="left"/>
    </xf>
    <xf numFmtId="169" fontId="18" fillId="0" borderId="1" xfId="1" applyNumberFormat="1" applyFont="1" applyBorder="1"/>
    <xf numFmtId="168" fontId="21" fillId="0" borderId="1" xfId="3" applyNumberFormat="1" applyFont="1" applyBorder="1" applyAlignment="1">
      <alignment horizontal="left"/>
    </xf>
    <xf numFmtId="0" fontId="8" fillId="0" borderId="0" xfId="0" applyFont="1" applyAlignment="1">
      <alignment horizontal="center"/>
    </xf>
    <xf numFmtId="0" fontId="27" fillId="0" borderId="0" xfId="0" applyFont="1" applyBorder="1" applyAlignment="1">
      <alignment horizontal="left"/>
    </xf>
    <xf numFmtId="0" fontId="27" fillId="0" borderId="0" xfId="0" applyFont="1"/>
    <xf numFmtId="167" fontId="27" fillId="0" borderId="14" xfId="3" applyNumberFormat="1" applyFont="1" applyBorder="1" applyAlignment="1">
      <alignment horizontal="center"/>
    </xf>
    <xf numFmtId="168" fontId="27" fillId="0" borderId="1" xfId="0" applyNumberFormat="1" applyFont="1" applyBorder="1" applyAlignment="1">
      <alignment horizontal="center"/>
    </xf>
    <xf numFmtId="0" fontId="27" fillId="0" borderId="15" xfId="0" applyFont="1" applyBorder="1" applyAlignment="1">
      <alignment horizontal="center"/>
    </xf>
    <xf numFmtId="0" fontId="28" fillId="0" borderId="0" xfId="0" applyFont="1" applyBorder="1" applyAlignment="1">
      <alignment horizontal="left"/>
    </xf>
    <xf numFmtId="0" fontId="28" fillId="0" borderId="0" xfId="0" applyFont="1"/>
    <xf numFmtId="167" fontId="29" fillId="0" borderId="22" xfId="3" applyNumberFormat="1" applyFont="1" applyBorder="1" applyAlignment="1">
      <alignment horizontal="center"/>
    </xf>
    <xf numFmtId="10" fontId="29" fillId="0" borderId="25" xfId="2" applyNumberFormat="1" applyFont="1" applyBorder="1" applyAlignment="1">
      <alignment horizontal="center"/>
    </xf>
    <xf numFmtId="9" fontId="29" fillId="0" borderId="25" xfId="2" applyFont="1" applyBorder="1" applyAlignment="1">
      <alignment horizontal="center"/>
    </xf>
    <xf numFmtId="174" fontId="29" fillId="0" borderId="25" xfId="2" applyNumberFormat="1" applyFont="1" applyBorder="1" applyAlignment="1">
      <alignment horizontal="center"/>
    </xf>
    <xf numFmtId="9" fontId="29" fillId="0" borderId="23" xfId="2" applyFont="1" applyBorder="1" applyAlignment="1">
      <alignment horizontal="center"/>
    </xf>
    <xf numFmtId="0" fontId="21" fillId="0" borderId="0" xfId="0" applyFont="1" applyBorder="1" applyAlignment="1">
      <alignment horizontal="left"/>
    </xf>
    <xf numFmtId="0" fontId="21" fillId="0" borderId="0" xfId="0" applyFont="1"/>
    <xf numFmtId="167" fontId="27" fillId="0" borderId="1" xfId="0" applyNumberFormat="1" applyFont="1" applyBorder="1" applyAlignment="1">
      <alignment horizontal="center"/>
    </xf>
    <xf numFmtId="0" fontId="29" fillId="0" borderId="23" xfId="0" applyFont="1" applyBorder="1" applyAlignment="1">
      <alignment horizontal="center"/>
    </xf>
    <xf numFmtId="167" fontId="27" fillId="0" borderId="14" xfId="3" applyNumberFormat="1" applyFont="1" applyBorder="1"/>
    <xf numFmtId="167" fontId="27" fillId="0" borderId="1" xfId="0" applyNumberFormat="1" applyFont="1" applyBorder="1"/>
    <xf numFmtId="0" fontId="27" fillId="0" borderId="15" xfId="0" applyFont="1" applyBorder="1"/>
    <xf numFmtId="0" fontId="30" fillId="0" borderId="0" xfId="0" applyFont="1"/>
    <xf numFmtId="167" fontId="30" fillId="0" borderId="22" xfId="3" applyNumberFormat="1" applyFont="1" applyBorder="1"/>
    <xf numFmtId="10" fontId="30" fillId="0" borderId="25" xfId="2" applyNumberFormat="1" applyFont="1" applyBorder="1"/>
    <xf numFmtId="0" fontId="30" fillId="0" borderId="23" xfId="0" applyFont="1" applyBorder="1"/>
    <xf numFmtId="167" fontId="27" fillId="0" borderId="1" xfId="3" applyNumberFormat="1" applyFont="1" applyBorder="1"/>
    <xf numFmtId="0" fontId="27" fillId="0" borderId="1" xfId="0" applyFont="1" applyBorder="1"/>
    <xf numFmtId="167" fontId="28" fillId="0" borderId="1" xfId="3" applyNumberFormat="1" applyFont="1" applyBorder="1"/>
    <xf numFmtId="173" fontId="28" fillId="0" borderId="1" xfId="2" applyNumberFormat="1" applyFont="1" applyBorder="1"/>
    <xf numFmtId="10" fontId="28" fillId="0" borderId="1" xfId="2" applyNumberFormat="1" applyFont="1" applyBorder="1"/>
    <xf numFmtId="168" fontId="23" fillId="3" borderId="24" xfId="0" applyNumberFormat="1" applyFont="1" applyFill="1" applyBorder="1" applyAlignment="1">
      <alignment horizontal="center"/>
    </xf>
    <xf numFmtId="170" fontId="20" fillId="3" borderId="1" xfId="0" applyNumberFormat="1" applyFont="1" applyFill="1" applyBorder="1" applyAlignment="1">
      <alignment horizontal="center"/>
    </xf>
    <xf numFmtId="168" fontId="27" fillId="3" borderId="1" xfId="0" applyNumberFormat="1" applyFont="1" applyFill="1" applyBorder="1" applyAlignment="1">
      <alignment horizontal="center"/>
    </xf>
    <xf numFmtId="174" fontId="29" fillId="3" borderId="25" xfId="2" applyNumberFormat="1" applyFont="1" applyFill="1" applyBorder="1" applyAlignment="1">
      <alignment horizontal="center"/>
    </xf>
    <xf numFmtId="167" fontId="23" fillId="3" borderId="24" xfId="0" applyNumberFormat="1" applyFont="1" applyFill="1" applyBorder="1" applyAlignment="1">
      <alignment horizontal="center"/>
    </xf>
    <xf numFmtId="0" fontId="20" fillId="3" borderId="1" xfId="0" applyFont="1" applyFill="1" applyBorder="1" applyAlignment="1">
      <alignment horizontal="center"/>
    </xf>
    <xf numFmtId="167" fontId="27" fillId="3" borderId="1" xfId="0" applyNumberFormat="1" applyFont="1" applyFill="1" applyBorder="1" applyAlignment="1">
      <alignment horizontal="center"/>
    </xf>
    <xf numFmtId="10" fontId="29" fillId="3" borderId="25" xfId="2" applyNumberFormat="1" applyFont="1" applyFill="1" applyBorder="1" applyAlignment="1">
      <alignment horizontal="center"/>
    </xf>
    <xf numFmtId="167" fontId="25" fillId="3" borderId="24" xfId="0" applyNumberFormat="1" applyFont="1" applyFill="1" applyBorder="1" applyAlignment="1">
      <alignment horizontal="center"/>
    </xf>
    <xf numFmtId="167" fontId="27" fillId="3" borderId="1" xfId="0" applyNumberFormat="1" applyFont="1" applyFill="1" applyBorder="1"/>
    <xf numFmtId="173" fontId="30" fillId="3" borderId="25" xfId="2" applyNumberFormat="1" applyFont="1" applyFill="1" applyBorder="1"/>
    <xf numFmtId="167" fontId="23" fillId="3" borderId="13" xfId="0" applyNumberFormat="1" applyFont="1" applyFill="1" applyBorder="1" applyAlignment="1">
      <alignment horizontal="center"/>
    </xf>
    <xf numFmtId="10" fontId="28" fillId="3" borderId="1" xfId="2" applyNumberFormat="1" applyFont="1" applyFill="1" applyBorder="1"/>
    <xf numFmtId="0" fontId="26" fillId="0" borderId="5" xfId="0" applyFont="1" applyBorder="1" applyAlignment="1">
      <alignment horizontal="center"/>
    </xf>
    <xf numFmtId="0" fontId="26" fillId="0" borderId="0" xfId="0" applyFont="1" applyBorder="1" applyAlignment="1">
      <alignment horizontal="center"/>
    </xf>
  </cellXfs>
  <cellStyles count="4">
    <cellStyle name="Millares" xfId="3" builtinId="3"/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workbookViewId="0">
      <selection activeCell="A22" sqref="A22"/>
    </sheetView>
  </sheetViews>
  <sheetFormatPr baseColWidth="10" defaultRowHeight="15" x14ac:dyDescent="0.25"/>
  <cols>
    <col min="1" max="1" width="14.85546875" bestFit="1" customWidth="1"/>
    <col min="2" max="2" width="18.85546875" customWidth="1"/>
    <col min="3" max="3" width="18" customWidth="1"/>
    <col min="4" max="4" width="15.140625" style="1" customWidth="1"/>
    <col min="5" max="5" width="15.85546875" bestFit="1" customWidth="1"/>
    <col min="6" max="6" width="15.5703125" customWidth="1"/>
    <col min="7" max="7" width="16.5703125" style="1" customWidth="1"/>
    <col min="8" max="8" width="15.85546875" style="1" bestFit="1" customWidth="1"/>
    <col min="9" max="9" width="14.85546875" customWidth="1"/>
    <col min="10" max="10" width="13.85546875" bestFit="1" customWidth="1"/>
    <col min="11" max="11" width="15.85546875" bestFit="1" customWidth="1"/>
    <col min="12" max="12" width="12.5703125" bestFit="1" customWidth="1"/>
    <col min="13" max="13" width="16.85546875" customWidth="1"/>
  </cols>
  <sheetData>
    <row r="1" spans="1:14" ht="24" thickBot="1" x14ac:dyDescent="0.4">
      <c r="A1" s="138" t="s">
        <v>0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40"/>
    </row>
    <row r="2" spans="1:14" x14ac:dyDescent="0.25">
      <c r="A2" s="5"/>
      <c r="B2" s="6"/>
      <c r="C2" s="6"/>
      <c r="D2" s="4"/>
      <c r="E2" s="6"/>
      <c r="F2" s="6"/>
      <c r="G2" s="4"/>
      <c r="H2" s="4"/>
      <c r="I2" s="6"/>
      <c r="J2" s="6"/>
      <c r="K2" s="6"/>
      <c r="L2" s="6"/>
      <c r="M2" s="7"/>
    </row>
    <row r="3" spans="1:14" ht="15.75" thickBot="1" x14ac:dyDescent="0.3">
      <c r="A3" s="5"/>
      <c r="B3" s="6"/>
      <c r="C3" s="6"/>
      <c r="D3" s="4"/>
      <c r="E3" s="6"/>
      <c r="F3" s="6"/>
      <c r="G3" s="4"/>
      <c r="H3" s="4"/>
      <c r="I3" s="6"/>
      <c r="J3" s="6"/>
      <c r="K3" s="6"/>
      <c r="L3" s="6"/>
      <c r="M3" s="7"/>
    </row>
    <row r="4" spans="1:14" ht="15.75" thickBot="1" x14ac:dyDescent="0.3">
      <c r="A4" s="141" t="s">
        <v>1</v>
      </c>
      <c r="B4" s="142"/>
      <c r="C4" s="142"/>
      <c r="D4" s="143"/>
      <c r="E4" s="6"/>
      <c r="F4" s="141" t="s">
        <v>11</v>
      </c>
      <c r="G4" s="142"/>
      <c r="H4" s="143"/>
      <c r="I4" s="57"/>
      <c r="J4" s="6"/>
      <c r="K4" s="6"/>
      <c r="L4" s="6"/>
      <c r="M4" s="7"/>
    </row>
    <row r="5" spans="1:14" x14ac:dyDescent="0.25">
      <c r="A5" s="66" t="s">
        <v>2</v>
      </c>
      <c r="B5" s="67" t="s">
        <v>3</v>
      </c>
      <c r="C5" s="67" t="s">
        <v>4</v>
      </c>
      <c r="D5" s="68"/>
      <c r="E5" s="6"/>
      <c r="F5" s="66" t="s">
        <v>13</v>
      </c>
      <c r="G5" s="72" t="s">
        <v>14</v>
      </c>
      <c r="H5" s="73"/>
      <c r="K5" s="156" t="s">
        <v>43</v>
      </c>
      <c r="L5" s="157"/>
      <c r="M5" s="7"/>
    </row>
    <row r="6" spans="1:14" ht="15.75" thickBot="1" x14ac:dyDescent="0.3">
      <c r="A6" s="13" t="s">
        <v>5</v>
      </c>
      <c r="B6" s="2" t="s">
        <v>6</v>
      </c>
      <c r="C6" s="2" t="s">
        <v>10</v>
      </c>
      <c r="D6" s="14"/>
      <c r="E6" s="6"/>
      <c r="F6" s="13" t="s">
        <v>12</v>
      </c>
      <c r="G6" s="3">
        <v>1358</v>
      </c>
      <c r="H6" s="74"/>
      <c r="K6" s="158">
        <v>0.1</v>
      </c>
      <c r="L6" s="159"/>
      <c r="M6" s="7"/>
    </row>
    <row r="7" spans="1:14" ht="15.75" thickBot="1" x14ac:dyDescent="0.3">
      <c r="A7" s="69" t="s">
        <v>7</v>
      </c>
      <c r="B7" s="70" t="s">
        <v>8</v>
      </c>
      <c r="C7" s="70" t="s">
        <v>9</v>
      </c>
      <c r="D7" s="71"/>
      <c r="E7" s="6"/>
      <c r="F7" s="13" t="s">
        <v>15</v>
      </c>
      <c r="G7" s="3">
        <v>1970</v>
      </c>
      <c r="H7" s="74"/>
      <c r="I7" s="6"/>
      <c r="J7" s="6"/>
      <c r="K7" s="6"/>
      <c r="L7" s="6"/>
      <c r="M7" s="7"/>
    </row>
    <row r="8" spans="1:14" x14ac:dyDescent="0.25">
      <c r="A8" s="5"/>
      <c r="B8" s="6"/>
      <c r="C8" s="6"/>
      <c r="D8" s="4"/>
      <c r="E8" s="6"/>
      <c r="F8" s="13" t="s">
        <v>16</v>
      </c>
      <c r="G8" s="3">
        <v>1925</v>
      </c>
      <c r="H8" s="74"/>
      <c r="I8" s="6"/>
      <c r="J8" s="6"/>
      <c r="K8" s="6"/>
      <c r="L8" s="6"/>
      <c r="M8" s="7"/>
    </row>
    <row r="9" spans="1:14" x14ac:dyDescent="0.25">
      <c r="A9" s="5"/>
      <c r="B9" s="6"/>
      <c r="C9" s="6"/>
      <c r="D9" s="4"/>
      <c r="E9" s="6"/>
      <c r="F9" s="13" t="s">
        <v>17</v>
      </c>
      <c r="G9" s="3">
        <v>2300</v>
      </c>
      <c r="H9" s="74"/>
      <c r="I9" s="6"/>
      <c r="J9" s="6"/>
      <c r="K9" s="6"/>
      <c r="L9" s="6"/>
      <c r="M9" s="7"/>
    </row>
    <row r="10" spans="1:14" ht="15.75" thickBot="1" x14ac:dyDescent="0.3">
      <c r="A10" s="5"/>
      <c r="B10" s="6"/>
      <c r="C10" s="6"/>
      <c r="D10" s="4"/>
      <c r="E10" s="6"/>
      <c r="F10" s="69" t="s">
        <v>18</v>
      </c>
      <c r="G10" s="86">
        <v>2100</v>
      </c>
      <c r="H10" s="76"/>
      <c r="I10" s="6"/>
      <c r="J10" s="6"/>
      <c r="K10" s="6"/>
      <c r="L10" s="6"/>
      <c r="M10" s="7"/>
    </row>
    <row r="11" spans="1:14" ht="27" thickBot="1" x14ac:dyDescent="0.45">
      <c r="A11" s="164" t="s">
        <v>31</v>
      </c>
      <c r="B11" s="165"/>
      <c r="C11" s="165"/>
      <c r="D11" s="165"/>
      <c r="E11" s="165"/>
      <c r="F11" s="165"/>
      <c r="G11" s="165"/>
      <c r="H11" s="165"/>
      <c r="I11" s="166"/>
      <c r="J11" s="164" t="s">
        <v>32</v>
      </c>
      <c r="K11" s="165"/>
      <c r="L11" s="165"/>
      <c r="M11" s="166"/>
    </row>
    <row r="12" spans="1:14" s="12" customFormat="1" ht="39" thickBot="1" x14ac:dyDescent="0.3">
      <c r="A12" s="62" t="s">
        <v>1</v>
      </c>
      <c r="B12" s="63" t="s">
        <v>19</v>
      </c>
      <c r="C12" s="63" t="s">
        <v>20</v>
      </c>
      <c r="D12" s="64" t="s">
        <v>21</v>
      </c>
      <c r="E12" s="63" t="s">
        <v>22</v>
      </c>
      <c r="F12" s="65" t="s">
        <v>23</v>
      </c>
      <c r="G12" s="64" t="s">
        <v>24</v>
      </c>
      <c r="H12" s="59" t="s">
        <v>25</v>
      </c>
      <c r="I12" s="60" t="s">
        <v>26</v>
      </c>
      <c r="J12" s="58" t="s">
        <v>27</v>
      </c>
      <c r="K12" s="59" t="s">
        <v>28</v>
      </c>
      <c r="L12" s="59" t="s">
        <v>30</v>
      </c>
      <c r="M12" s="60" t="s">
        <v>29</v>
      </c>
      <c r="N12" s="88" t="s">
        <v>71</v>
      </c>
    </row>
    <row r="13" spans="1:14" x14ac:dyDescent="0.25">
      <c r="A13" s="13">
        <v>1</v>
      </c>
      <c r="B13" s="2">
        <v>3</v>
      </c>
      <c r="C13" s="3">
        <f>+B13*G6</f>
        <v>4074</v>
      </c>
      <c r="D13" s="3">
        <v>1982</v>
      </c>
      <c r="E13" s="2">
        <v>13</v>
      </c>
      <c r="F13" s="3">
        <f>+E13*G8</f>
        <v>25025</v>
      </c>
      <c r="G13" s="3">
        <f>+C13+D13+F13</f>
        <v>31081</v>
      </c>
      <c r="H13" s="3">
        <v>396500</v>
      </c>
      <c r="I13" s="14">
        <f>+H13+G13</f>
        <v>427581</v>
      </c>
      <c r="J13" s="61">
        <v>1805</v>
      </c>
      <c r="K13" s="3">
        <f>+J13*I13</f>
        <v>771783705</v>
      </c>
      <c r="L13" s="11">
        <f>K13*10%</f>
        <v>77178370.5</v>
      </c>
      <c r="M13" s="89">
        <f>+L13+K13</f>
        <v>848962075.5</v>
      </c>
      <c r="N13" s="90">
        <f>+M13/H13</f>
        <v>2141.1401651954602</v>
      </c>
    </row>
    <row r="14" spans="1:14" x14ac:dyDescent="0.25">
      <c r="A14" s="13">
        <v>2</v>
      </c>
      <c r="B14" s="2">
        <v>1</v>
      </c>
      <c r="C14" s="3">
        <f>+B14*G10</f>
        <v>2100</v>
      </c>
      <c r="D14" s="3">
        <v>1982</v>
      </c>
      <c r="E14" s="2">
        <v>6</v>
      </c>
      <c r="F14" s="3">
        <f>+E14*G9</f>
        <v>13800</v>
      </c>
      <c r="G14" s="3">
        <f>+C14+D14+F14</f>
        <v>17882</v>
      </c>
      <c r="H14" s="3">
        <v>396500</v>
      </c>
      <c r="I14" s="14">
        <f t="shared" ref="I14:I15" si="0">+H14+G14</f>
        <v>414382</v>
      </c>
      <c r="J14" s="61">
        <v>1805</v>
      </c>
      <c r="K14" s="3">
        <f t="shared" ref="K14:K15" si="1">+J14*I14</f>
        <v>747959510</v>
      </c>
      <c r="L14" s="11">
        <f t="shared" ref="L14:L15" si="2">K14*10%</f>
        <v>74795951</v>
      </c>
      <c r="M14" s="89">
        <f t="shared" ref="M14:M15" si="3">+L14+K14</f>
        <v>822755461</v>
      </c>
      <c r="N14" s="91">
        <f>+M14/H14</f>
        <v>2075.0452988650695</v>
      </c>
    </row>
    <row r="15" spans="1:14" ht="15.75" thickBot="1" x14ac:dyDescent="0.3">
      <c r="A15" s="13">
        <v>3</v>
      </c>
      <c r="B15" s="2">
        <v>1</v>
      </c>
      <c r="C15" s="3">
        <f>+B15*G6</f>
        <v>1358</v>
      </c>
      <c r="D15" s="3">
        <v>1982</v>
      </c>
      <c r="E15" s="2">
        <v>10</v>
      </c>
      <c r="F15" s="3">
        <f>+E15*G9</f>
        <v>23000</v>
      </c>
      <c r="G15" s="3">
        <f>+C15+D15+F15</f>
        <v>26340</v>
      </c>
      <c r="H15" s="3">
        <v>396500</v>
      </c>
      <c r="I15" s="14">
        <f t="shared" si="0"/>
        <v>422840</v>
      </c>
      <c r="J15" s="61">
        <v>1805</v>
      </c>
      <c r="K15" s="3">
        <f t="shared" si="1"/>
        <v>763226200</v>
      </c>
      <c r="L15" s="11">
        <f t="shared" si="2"/>
        <v>76322620</v>
      </c>
      <c r="M15" s="89">
        <f t="shared" si="3"/>
        <v>839548820</v>
      </c>
      <c r="N15" s="92">
        <f>+M15/H15</f>
        <v>2117.3992938209331</v>
      </c>
    </row>
    <row r="16" spans="1:14" ht="15.75" thickBot="1" x14ac:dyDescent="0.3"/>
    <row r="17" spans="1:13" ht="24" thickBot="1" x14ac:dyDescent="0.4">
      <c r="A17" s="138" t="s">
        <v>33</v>
      </c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40"/>
    </row>
    <row r="18" spans="1:13" x14ac:dyDescent="0.25">
      <c r="A18" s="5"/>
      <c r="B18" s="6"/>
      <c r="C18" s="6"/>
      <c r="D18" s="4"/>
      <c r="E18" s="6"/>
      <c r="F18" s="6"/>
      <c r="G18" s="4"/>
      <c r="H18" s="4"/>
      <c r="I18" s="6"/>
      <c r="J18" s="6"/>
      <c r="K18" s="6"/>
      <c r="L18" s="6"/>
      <c r="M18" s="7"/>
    </row>
    <row r="19" spans="1:13" ht="15.75" thickBot="1" x14ac:dyDescent="0.3">
      <c r="A19" s="5"/>
      <c r="B19" s="6"/>
      <c r="C19" s="6"/>
      <c r="D19" s="4"/>
      <c r="E19" s="6"/>
      <c r="F19" s="6"/>
      <c r="G19" s="4"/>
      <c r="H19" s="4"/>
      <c r="I19" s="6"/>
      <c r="J19" s="6"/>
      <c r="K19" s="6"/>
      <c r="L19" s="6"/>
      <c r="M19" s="7"/>
    </row>
    <row r="20" spans="1:13" ht="15.75" thickBot="1" x14ac:dyDescent="0.3">
      <c r="A20" s="141" t="s">
        <v>1</v>
      </c>
      <c r="B20" s="142"/>
      <c r="C20" s="142"/>
      <c r="D20" s="143"/>
      <c r="E20" s="6"/>
      <c r="F20" s="149" t="s">
        <v>11</v>
      </c>
      <c r="G20" s="150"/>
      <c r="H20" s="151"/>
      <c r="I20" s="57"/>
      <c r="J20" s="6"/>
      <c r="K20" s="6"/>
      <c r="L20" s="6"/>
      <c r="M20" s="7"/>
    </row>
    <row r="21" spans="1:13" x14ac:dyDescent="0.25">
      <c r="A21" s="66" t="s">
        <v>2</v>
      </c>
      <c r="B21" s="67" t="s">
        <v>3</v>
      </c>
      <c r="C21" s="67" t="s">
        <v>4</v>
      </c>
      <c r="D21" s="68"/>
      <c r="E21" s="6"/>
      <c r="F21" s="66" t="s">
        <v>13</v>
      </c>
      <c r="G21" s="72" t="s">
        <v>14</v>
      </c>
      <c r="H21" s="73"/>
      <c r="I21" s="6"/>
      <c r="J21" s="6"/>
      <c r="K21" s="6"/>
      <c r="L21" s="6"/>
      <c r="M21" s="7"/>
    </row>
    <row r="22" spans="1:13" x14ac:dyDescent="0.25">
      <c r="A22" s="13" t="s">
        <v>5</v>
      </c>
      <c r="B22" s="2" t="s">
        <v>6</v>
      </c>
      <c r="C22" s="2" t="s">
        <v>10</v>
      </c>
      <c r="D22" s="14"/>
      <c r="E22" s="6"/>
      <c r="F22" s="13" t="s">
        <v>12</v>
      </c>
      <c r="G22" s="15">
        <v>3000000</v>
      </c>
      <c r="H22" s="74"/>
      <c r="I22" s="8"/>
      <c r="J22" s="6"/>
      <c r="K22" s="6"/>
      <c r="L22" s="6"/>
      <c r="M22" s="7"/>
    </row>
    <row r="23" spans="1:13" ht="15.75" thickBot="1" x14ac:dyDescent="0.3">
      <c r="A23" s="69" t="s">
        <v>7</v>
      </c>
      <c r="B23" s="70" t="s">
        <v>8</v>
      </c>
      <c r="C23" s="70" t="s">
        <v>9</v>
      </c>
      <c r="D23" s="71"/>
      <c r="E23" s="6"/>
      <c r="F23" s="69" t="s">
        <v>15</v>
      </c>
      <c r="G23" s="75">
        <v>5000000</v>
      </c>
      <c r="H23" s="76"/>
      <c r="I23" s="6"/>
      <c r="J23" s="6"/>
      <c r="K23" s="6"/>
      <c r="L23" s="6"/>
      <c r="M23" s="7"/>
    </row>
    <row r="24" spans="1:13" s="12" customFormat="1" ht="39" thickBot="1" x14ac:dyDescent="0.3">
      <c r="A24" s="77" t="s">
        <v>1</v>
      </c>
      <c r="B24" s="78" t="s">
        <v>35</v>
      </c>
      <c r="C24" s="78" t="s">
        <v>34</v>
      </c>
      <c r="D24" s="79" t="s">
        <v>36</v>
      </c>
      <c r="E24" s="78" t="s">
        <v>37</v>
      </c>
      <c r="F24" s="80" t="s">
        <v>38</v>
      </c>
      <c r="G24" s="79" t="s">
        <v>39</v>
      </c>
      <c r="H24" s="81" t="s">
        <v>40</v>
      </c>
      <c r="I24" s="162" t="s">
        <v>42</v>
      </c>
      <c r="J24" s="163"/>
      <c r="K24" s="81" t="s">
        <v>44</v>
      </c>
      <c r="L24" s="81" t="s">
        <v>45</v>
      </c>
      <c r="M24" s="82" t="s">
        <v>41</v>
      </c>
    </row>
    <row r="25" spans="1:13" x14ac:dyDescent="0.25">
      <c r="A25" s="66">
        <v>1</v>
      </c>
      <c r="B25" s="67">
        <v>16</v>
      </c>
      <c r="C25" s="83">
        <v>0</v>
      </c>
      <c r="D25" s="72">
        <f>+B25*G22</f>
        <v>48000000</v>
      </c>
      <c r="E25" s="72">
        <f>+K13*0.5%</f>
        <v>3858918.5249999999</v>
      </c>
      <c r="F25" s="72">
        <f>+B25*50*1805</f>
        <v>1444000</v>
      </c>
      <c r="G25" s="72">
        <v>800000</v>
      </c>
      <c r="H25" s="72">
        <f>+K13*0.5%</f>
        <v>3858918.5249999999</v>
      </c>
      <c r="I25" s="160">
        <f>+M13+D25+E25+F25+G25+H25</f>
        <v>906923912.54999995</v>
      </c>
      <c r="J25" s="161"/>
      <c r="K25" s="72">
        <f>+G13*1805</f>
        <v>56101205</v>
      </c>
      <c r="L25" s="84">
        <f>SUM(D25:H25)</f>
        <v>57961837.049999997</v>
      </c>
      <c r="M25" s="68" t="s">
        <v>41</v>
      </c>
    </row>
    <row r="26" spans="1:13" x14ac:dyDescent="0.25">
      <c r="A26" s="13">
        <v>2</v>
      </c>
      <c r="B26" s="2">
        <v>0</v>
      </c>
      <c r="C26" s="16">
        <v>7</v>
      </c>
      <c r="D26" s="3">
        <f>+C26*G23</f>
        <v>35000000</v>
      </c>
      <c r="E26" s="3">
        <f>+K14*0.5%</f>
        <v>3739797.5500000003</v>
      </c>
      <c r="F26" s="3">
        <f>+C26*50*1805</f>
        <v>631750</v>
      </c>
      <c r="G26" s="3">
        <v>800000</v>
      </c>
      <c r="H26" s="3">
        <f>+K14*0.5%</f>
        <v>3739797.5500000003</v>
      </c>
      <c r="I26" s="152">
        <f>+M14+D26+E26+F26+G26+H26</f>
        <v>866666806.0999999</v>
      </c>
      <c r="J26" s="153"/>
      <c r="K26" s="3">
        <f>+G14*1805</f>
        <v>32277010</v>
      </c>
      <c r="L26" s="11">
        <f t="shared" ref="L26:L27" si="4">SUM(D26:H26)</f>
        <v>43911345.099999994</v>
      </c>
      <c r="M26" s="14" t="s">
        <v>41</v>
      </c>
    </row>
    <row r="27" spans="1:13" ht="15.75" thickBot="1" x14ac:dyDescent="0.3">
      <c r="A27" s="69">
        <v>3</v>
      </c>
      <c r="B27" s="70">
        <v>1</v>
      </c>
      <c r="C27" s="85">
        <v>10</v>
      </c>
      <c r="D27" s="86">
        <f>+C27*G23</f>
        <v>50000000</v>
      </c>
      <c r="E27" s="86">
        <f>+K15*0.5%</f>
        <v>3816131</v>
      </c>
      <c r="F27" s="86">
        <f>(B27+C27)*50*1805</f>
        <v>992750</v>
      </c>
      <c r="G27" s="86">
        <v>800000</v>
      </c>
      <c r="H27" s="86">
        <f>+K15*0.5%</f>
        <v>3816131</v>
      </c>
      <c r="I27" s="154">
        <f>+M15+D27+E27+F27+G27+H27</f>
        <v>898973832</v>
      </c>
      <c r="J27" s="155"/>
      <c r="K27" s="86">
        <f>+G15*1805</f>
        <v>47543700</v>
      </c>
      <c r="L27" s="87">
        <f t="shared" si="4"/>
        <v>59425012</v>
      </c>
      <c r="M27" s="71" t="s">
        <v>41</v>
      </c>
    </row>
    <row r="28" spans="1:13" ht="21.75" thickBot="1" x14ac:dyDescent="0.4">
      <c r="A28" s="147" t="s">
        <v>67</v>
      </c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9"/>
      <c r="M28" s="10"/>
    </row>
    <row r="29" spans="1:13" ht="15.75" thickBot="1" x14ac:dyDescent="0.3">
      <c r="A29" s="19"/>
      <c r="B29" s="20"/>
      <c r="C29" s="20"/>
      <c r="D29" s="21"/>
      <c r="E29" s="20"/>
      <c r="F29" s="20"/>
      <c r="G29" s="21"/>
      <c r="H29" s="21"/>
      <c r="I29" s="20"/>
      <c r="J29" s="20"/>
      <c r="K29" s="22"/>
      <c r="L29" s="6"/>
      <c r="M29" s="6"/>
    </row>
    <row r="30" spans="1:13" x14ac:dyDescent="0.25">
      <c r="A30" s="23" t="s">
        <v>58</v>
      </c>
      <c r="B30" s="24"/>
      <c r="C30" s="25"/>
      <c r="D30" s="26"/>
      <c r="E30" s="23" t="s">
        <v>59</v>
      </c>
      <c r="F30" s="24"/>
      <c r="G30" s="25"/>
      <c r="H30" s="26"/>
      <c r="I30" s="23" t="s">
        <v>60</v>
      </c>
      <c r="J30" s="24"/>
      <c r="K30" s="25"/>
    </row>
    <row r="31" spans="1:13" x14ac:dyDescent="0.25">
      <c r="A31" s="27" t="s">
        <v>47</v>
      </c>
      <c r="B31" s="28" t="s">
        <v>48</v>
      </c>
      <c r="C31" s="29" t="s">
        <v>49</v>
      </c>
      <c r="D31" s="26"/>
      <c r="E31" s="29" t="s">
        <v>47</v>
      </c>
      <c r="F31" s="28" t="s">
        <v>48</v>
      </c>
      <c r="G31" s="29" t="s">
        <v>49</v>
      </c>
      <c r="H31" s="26"/>
      <c r="I31" s="29" t="s">
        <v>47</v>
      </c>
      <c r="J31" s="28" t="s">
        <v>48</v>
      </c>
      <c r="K31" s="30" t="s">
        <v>49</v>
      </c>
    </row>
    <row r="32" spans="1:13" x14ac:dyDescent="0.25">
      <c r="A32" s="31">
        <f>(C13+F13)*1805</f>
        <v>52523695</v>
      </c>
      <c r="B32" s="28">
        <f>+D25</f>
        <v>48000000</v>
      </c>
      <c r="C32" s="28">
        <f>+B32+A32</f>
        <v>100523695</v>
      </c>
      <c r="D32" s="26"/>
      <c r="E32" s="28">
        <v>0</v>
      </c>
      <c r="F32" s="28">
        <f>+E25</f>
        <v>3858918.5249999999</v>
      </c>
      <c r="G32" s="28">
        <f>+F32+E32</f>
        <v>3858918.5249999999</v>
      </c>
      <c r="H32" s="26"/>
      <c r="I32" s="28">
        <f>+D13*1805</f>
        <v>3577510</v>
      </c>
      <c r="J32" s="28">
        <f>+H25</f>
        <v>3858918.5249999999</v>
      </c>
      <c r="K32" s="32">
        <f>+J32+I32</f>
        <v>7436428.5250000004</v>
      </c>
    </row>
    <row r="33" spans="1:11" ht="15.75" thickBot="1" x14ac:dyDescent="0.3">
      <c r="A33" s="33"/>
      <c r="B33" s="34"/>
      <c r="C33" s="35"/>
      <c r="D33" s="34"/>
      <c r="E33" s="35"/>
      <c r="F33" s="35"/>
      <c r="G33" s="34"/>
      <c r="H33" s="34"/>
      <c r="I33" s="35"/>
      <c r="J33" s="35"/>
      <c r="K33" s="36"/>
    </row>
    <row r="34" spans="1:11" s="45" customFormat="1" x14ac:dyDescent="0.25">
      <c r="A34" s="37" t="s">
        <v>61</v>
      </c>
      <c r="B34" s="38"/>
      <c r="C34" s="39"/>
      <c r="D34" s="40"/>
      <c r="E34" s="37" t="s">
        <v>62</v>
      </c>
      <c r="F34" s="38"/>
      <c r="G34" s="39"/>
      <c r="H34" s="40"/>
      <c r="I34" s="37" t="s">
        <v>63</v>
      </c>
      <c r="J34" s="38"/>
      <c r="K34" s="39"/>
    </row>
    <row r="35" spans="1:11" s="45" customFormat="1" x14ac:dyDescent="0.25">
      <c r="A35" s="42" t="s">
        <v>47</v>
      </c>
      <c r="B35" s="43" t="s">
        <v>48</v>
      </c>
      <c r="C35" s="42" t="s">
        <v>49</v>
      </c>
      <c r="D35" s="40"/>
      <c r="E35" s="42" t="s">
        <v>47</v>
      </c>
      <c r="F35" s="43" t="s">
        <v>48</v>
      </c>
      <c r="G35" s="42" t="s">
        <v>49</v>
      </c>
      <c r="H35" s="40"/>
      <c r="I35" s="42" t="s">
        <v>47</v>
      </c>
      <c r="J35" s="43" t="s">
        <v>48</v>
      </c>
      <c r="K35" s="42" t="s">
        <v>49</v>
      </c>
    </row>
    <row r="36" spans="1:11" s="45" customFormat="1" x14ac:dyDescent="0.25">
      <c r="A36" s="43">
        <f>(C14+F14)*1805</f>
        <v>28699500</v>
      </c>
      <c r="B36" s="43">
        <f>+D26</f>
        <v>35000000</v>
      </c>
      <c r="C36" s="43">
        <f>+B36+A36</f>
        <v>63699500</v>
      </c>
      <c r="D36" s="40"/>
      <c r="E36" s="43">
        <v>0</v>
      </c>
      <c r="F36" s="43">
        <f>+E26</f>
        <v>3739797.5500000003</v>
      </c>
      <c r="G36" s="43">
        <f>+F36+E36</f>
        <v>3739797.5500000003</v>
      </c>
      <c r="H36" s="40"/>
      <c r="I36" s="43">
        <f>+D14*1805</f>
        <v>3577510</v>
      </c>
      <c r="J36" s="43">
        <f>+H26</f>
        <v>3739797.5500000003</v>
      </c>
      <c r="K36" s="43">
        <f>+J36+I36</f>
        <v>7317307.5500000007</v>
      </c>
    </row>
    <row r="37" spans="1:11" s="45" customFormat="1" ht="15.75" thickBot="1" x14ac:dyDescent="0.3">
      <c r="A37" s="41"/>
      <c r="B37" s="40"/>
      <c r="C37" s="41"/>
      <c r="D37" s="40"/>
      <c r="E37" s="41"/>
      <c r="F37" s="41"/>
      <c r="G37" s="40"/>
      <c r="H37" s="40"/>
      <c r="I37" s="41"/>
      <c r="J37" s="41"/>
      <c r="K37" s="41"/>
    </row>
    <row r="38" spans="1:11" s="45" customFormat="1" x14ac:dyDescent="0.25">
      <c r="A38" s="46" t="s">
        <v>66</v>
      </c>
      <c r="B38" s="47"/>
      <c r="C38" s="48"/>
      <c r="D38" s="49"/>
      <c r="E38" s="46" t="s">
        <v>65</v>
      </c>
      <c r="F38" s="47"/>
      <c r="G38" s="48"/>
      <c r="H38" s="49"/>
      <c r="I38" s="46" t="s">
        <v>64</v>
      </c>
      <c r="J38" s="47"/>
      <c r="K38" s="48"/>
    </row>
    <row r="39" spans="1:11" s="45" customFormat="1" x14ac:dyDescent="0.25">
      <c r="A39" s="50" t="s">
        <v>47</v>
      </c>
      <c r="B39" s="51" t="s">
        <v>48</v>
      </c>
      <c r="C39" s="50" t="s">
        <v>49</v>
      </c>
      <c r="D39" s="49"/>
      <c r="E39" s="50" t="s">
        <v>47</v>
      </c>
      <c r="F39" s="51" t="s">
        <v>48</v>
      </c>
      <c r="G39" s="50" t="s">
        <v>49</v>
      </c>
      <c r="H39" s="49"/>
      <c r="I39" s="50" t="s">
        <v>47</v>
      </c>
      <c r="J39" s="51" t="s">
        <v>48</v>
      </c>
      <c r="K39" s="50" t="s">
        <v>49</v>
      </c>
    </row>
    <row r="40" spans="1:11" s="45" customFormat="1" x14ac:dyDescent="0.25">
      <c r="A40" s="51">
        <f>(C15+F15)*1805</f>
        <v>43966190</v>
      </c>
      <c r="B40" s="51">
        <f>+D27</f>
        <v>50000000</v>
      </c>
      <c r="C40" s="51">
        <f>+B40+A40</f>
        <v>93966190</v>
      </c>
      <c r="D40" s="49"/>
      <c r="E40" s="51">
        <v>0</v>
      </c>
      <c r="F40" s="51">
        <f>+E27</f>
        <v>3816131</v>
      </c>
      <c r="G40" s="51">
        <f>+F40+E40</f>
        <v>3816131</v>
      </c>
      <c r="H40" s="49"/>
      <c r="I40" s="51">
        <f>+D14*1805</f>
        <v>3577510</v>
      </c>
      <c r="J40" s="51">
        <f>+H27</f>
        <v>3816131</v>
      </c>
      <c r="K40" s="51">
        <f>+J40+I40</f>
        <v>7393641</v>
      </c>
    </row>
    <row r="41" spans="1:11" s="45" customFormat="1" x14ac:dyDescent="0.25">
      <c r="A41" s="52"/>
      <c r="B41" s="52"/>
      <c r="C41" s="52"/>
      <c r="D41" s="49"/>
      <c r="E41" s="52"/>
      <c r="F41" s="52"/>
      <c r="G41" s="49"/>
      <c r="H41" s="49"/>
      <c r="I41" s="52"/>
      <c r="J41" s="52"/>
      <c r="K41" s="52"/>
    </row>
    <row r="42" spans="1:11" ht="15.75" thickBot="1" x14ac:dyDescent="0.3">
      <c r="A42" s="52"/>
      <c r="B42" s="52"/>
      <c r="C42" s="52"/>
      <c r="D42" s="49"/>
      <c r="E42" s="52"/>
      <c r="F42" s="52"/>
      <c r="G42" s="49"/>
      <c r="H42" s="49"/>
      <c r="I42" s="52"/>
      <c r="J42" s="52"/>
      <c r="K42" s="52"/>
    </row>
    <row r="43" spans="1:11" ht="30.75" thickBot="1" x14ac:dyDescent="0.5">
      <c r="A43" s="144" t="s">
        <v>68</v>
      </c>
      <c r="B43" s="145"/>
      <c r="C43" s="145"/>
      <c r="D43" s="145"/>
      <c r="E43" s="145"/>
      <c r="F43" s="145"/>
      <c r="G43" s="146"/>
    </row>
    <row r="44" spans="1:11" s="44" customFormat="1" ht="11.25" x14ac:dyDescent="0.2">
      <c r="A44" s="56"/>
      <c r="B44" s="56" t="s">
        <v>57</v>
      </c>
      <c r="C44" s="56" t="s">
        <v>50</v>
      </c>
      <c r="D44" s="56" t="s">
        <v>52</v>
      </c>
      <c r="E44" s="56" t="s">
        <v>53</v>
      </c>
      <c r="F44" s="56" t="s">
        <v>54</v>
      </c>
      <c r="G44" s="56" t="s">
        <v>55</v>
      </c>
      <c r="H44" s="93" t="s">
        <v>69</v>
      </c>
      <c r="I44" s="94" t="s">
        <v>70</v>
      </c>
    </row>
    <row r="45" spans="1:11" x14ac:dyDescent="0.25">
      <c r="A45" s="29" t="s">
        <v>46</v>
      </c>
      <c r="B45" s="28">
        <f>+C32+G32+K32</f>
        <v>111819042.05000001</v>
      </c>
      <c r="C45" s="53">
        <f>+A32/B45</f>
        <v>0.46972048800520011</v>
      </c>
      <c r="D45" s="53">
        <f>+B32/B45</f>
        <v>0.4292649902915171</v>
      </c>
      <c r="E45" s="53">
        <f>+F32/B45</f>
        <v>3.4510387982705844E-2</v>
      </c>
      <c r="F45" s="53">
        <f>+I32/B45</f>
        <v>3.1993745737870949E-2</v>
      </c>
      <c r="G45" s="53">
        <f>+J32/B45</f>
        <v>3.4510387982705844E-2</v>
      </c>
      <c r="H45" s="28">
        <f>+F25+G25</f>
        <v>2244000</v>
      </c>
      <c r="I45" s="53">
        <f>+H45/B45</f>
        <v>2.0068138296128427E-2</v>
      </c>
    </row>
    <row r="46" spans="1:11" x14ac:dyDescent="0.25">
      <c r="A46" s="54" t="s">
        <v>51</v>
      </c>
      <c r="B46" s="43">
        <f>+C36+G36+K36</f>
        <v>74756605.099999994</v>
      </c>
      <c r="C46" s="54">
        <f>+A36/B46</f>
        <v>0.38390587643204793</v>
      </c>
      <c r="D46" s="54">
        <f>+B36/B46</f>
        <v>0.46818605463933788</v>
      </c>
      <c r="E46" s="54">
        <f>+F36/B46</f>
        <v>5.0026316002410344E-2</v>
      </c>
      <c r="F46" s="54">
        <f>+I36/B46</f>
        <v>4.7855436923793647E-2</v>
      </c>
      <c r="G46" s="54">
        <f>+J36/B46</f>
        <v>5.0026316002410344E-2</v>
      </c>
      <c r="H46" s="95">
        <f t="shared" ref="H46:H47" si="5">+F26+G26</f>
        <v>1431750</v>
      </c>
      <c r="I46" s="96">
        <f t="shared" ref="I46:I47" si="6">+H46/B46</f>
        <v>1.9152153820853484E-2</v>
      </c>
    </row>
    <row r="47" spans="1:11" x14ac:dyDescent="0.25">
      <c r="A47" s="18" t="s">
        <v>56</v>
      </c>
      <c r="B47" s="17">
        <f>+C40+G40+K40</f>
        <v>105175962</v>
      </c>
      <c r="C47" s="55">
        <f>+A40/B47</f>
        <v>0.41802508067385208</v>
      </c>
      <c r="D47" s="55">
        <f>+B40/B47</f>
        <v>0.47539379768164136</v>
      </c>
      <c r="E47" s="55">
        <f>+F40/B47</f>
        <v>3.6283300170812792E-2</v>
      </c>
      <c r="F47" s="55">
        <f>+I40/B47</f>
        <v>3.4014521302880976E-2</v>
      </c>
      <c r="G47" s="55">
        <f>+J40/B47</f>
        <v>3.6283300170812792E-2</v>
      </c>
      <c r="H47" s="97">
        <f t="shared" si="5"/>
        <v>1792750</v>
      </c>
      <c r="I47" s="98">
        <f t="shared" si="6"/>
        <v>1.7045244615875251E-2</v>
      </c>
    </row>
    <row r="50" spans="1:2" ht="18.75" x14ac:dyDescent="0.3">
      <c r="A50" s="252" t="s">
        <v>139</v>
      </c>
      <c r="B50" s="253"/>
    </row>
    <row r="51" spans="1:2" x14ac:dyDescent="0.25">
      <c r="A51" t="s">
        <v>140</v>
      </c>
    </row>
    <row r="52" spans="1:2" x14ac:dyDescent="0.25">
      <c r="A52" t="s">
        <v>135</v>
      </c>
    </row>
    <row r="53" spans="1:2" x14ac:dyDescent="0.25">
      <c r="A53" t="s">
        <v>141</v>
      </c>
    </row>
    <row r="54" spans="1:2" x14ac:dyDescent="0.25">
      <c r="A54" t="s">
        <v>142</v>
      </c>
    </row>
    <row r="55" spans="1:2" x14ac:dyDescent="0.25">
      <c r="A55" t="s">
        <v>145</v>
      </c>
    </row>
  </sheetData>
  <mergeCells count="17">
    <mergeCell ref="A50:B50"/>
    <mergeCell ref="A1:M1"/>
    <mergeCell ref="A4:D4"/>
    <mergeCell ref="A17:M17"/>
    <mergeCell ref="A43:G43"/>
    <mergeCell ref="A28:K28"/>
    <mergeCell ref="F4:H4"/>
    <mergeCell ref="F20:H20"/>
    <mergeCell ref="I26:J26"/>
    <mergeCell ref="I27:J27"/>
    <mergeCell ref="K5:L5"/>
    <mergeCell ref="K6:L6"/>
    <mergeCell ref="A20:D20"/>
    <mergeCell ref="I25:J25"/>
    <mergeCell ref="I24:J24"/>
    <mergeCell ref="A11:I11"/>
    <mergeCell ref="J11:M11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topLeftCell="A42" workbookViewId="0">
      <selection activeCell="A59" sqref="A59"/>
    </sheetView>
  </sheetViews>
  <sheetFormatPr baseColWidth="10" defaultRowHeight="15" x14ac:dyDescent="0.25"/>
  <cols>
    <col min="4" max="4" width="14.42578125" customWidth="1"/>
    <col min="5" max="5" width="1.7109375" hidden="1" customWidth="1"/>
    <col min="6" max="6" width="19" style="105" bestFit="1" customWidth="1"/>
    <col min="7" max="7" width="18.28515625" customWidth="1"/>
    <col min="8" max="9" width="19" bestFit="1" customWidth="1"/>
    <col min="10" max="10" width="19.5703125" style="109" bestFit="1" customWidth="1"/>
    <col min="11" max="13" width="18.85546875" bestFit="1" customWidth="1"/>
  </cols>
  <sheetData>
    <row r="1" spans="1:13" ht="21" x14ac:dyDescent="0.35">
      <c r="A1" s="210" t="s">
        <v>132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</row>
    <row r="2" spans="1:13" x14ac:dyDescent="0.25">
      <c r="F2" s="114" t="s">
        <v>91</v>
      </c>
      <c r="G2" s="106" t="s">
        <v>92</v>
      </c>
      <c r="H2" s="106" t="s">
        <v>93</v>
      </c>
      <c r="I2" s="106" t="s">
        <v>94</v>
      </c>
      <c r="J2" s="116" t="s">
        <v>95</v>
      </c>
      <c r="K2" s="106" t="s">
        <v>96</v>
      </c>
      <c r="L2" s="106" t="s">
        <v>97</v>
      </c>
      <c r="M2" s="106" t="s">
        <v>98</v>
      </c>
    </row>
    <row r="3" spans="1:13" x14ac:dyDescent="0.25">
      <c r="A3" s="175" t="s">
        <v>72</v>
      </c>
      <c r="B3" s="169" t="s">
        <v>90</v>
      </c>
      <c r="C3" s="169"/>
      <c r="D3" s="169"/>
      <c r="E3" s="176"/>
      <c r="F3" s="108">
        <f>200000*4.5*1810</f>
        <v>1629000000</v>
      </c>
      <c r="G3" s="107">
        <f>200000*4.5*1804</f>
        <v>1623600000</v>
      </c>
      <c r="H3" s="107">
        <f>200000*4.5*1792</f>
        <v>1612800000</v>
      </c>
      <c r="I3" s="107">
        <f>200000*4.5*1786</f>
        <v>1607400000</v>
      </c>
      <c r="J3" s="117">
        <f>200000*4.5*1780</f>
        <v>1602000000</v>
      </c>
      <c r="K3" s="107">
        <f>200000*4.5*1795</f>
        <v>1615500000</v>
      </c>
      <c r="L3" s="107">
        <f>200000*4.5*1801</f>
        <v>1620900000</v>
      </c>
      <c r="M3" s="107">
        <f>200000*4.5*1799</f>
        <v>1619100000</v>
      </c>
    </row>
    <row r="4" spans="1:13" x14ac:dyDescent="0.25">
      <c r="A4" s="175"/>
      <c r="B4" s="169" t="s">
        <v>99</v>
      </c>
      <c r="C4" s="169"/>
      <c r="D4" s="169"/>
      <c r="E4" s="176"/>
      <c r="F4" s="108">
        <f>100000*7*1810</f>
        <v>1267000000</v>
      </c>
      <c r="G4" s="107">
        <f>100000*7*1804</f>
        <v>1262800000</v>
      </c>
      <c r="H4" s="107">
        <f>100000*7*1792</f>
        <v>1254400000</v>
      </c>
      <c r="I4" s="107">
        <f>100000*7*1786</f>
        <v>1250200000</v>
      </c>
      <c r="J4" s="117">
        <f>100000*7*1780</f>
        <v>1246000000</v>
      </c>
      <c r="K4" s="107">
        <f>100000*7*1795</f>
        <v>1256500000</v>
      </c>
      <c r="L4" s="107">
        <f>100000*7*1801</f>
        <v>1260700000</v>
      </c>
      <c r="M4" s="107">
        <f>100000*7*1799</f>
        <v>1259300000</v>
      </c>
    </row>
    <row r="5" spans="1:13" x14ac:dyDescent="0.25">
      <c r="A5" s="175"/>
      <c r="B5" s="169" t="s">
        <v>100</v>
      </c>
      <c r="C5" s="169"/>
      <c r="D5" s="169"/>
      <c r="E5" s="176"/>
      <c r="F5" s="108">
        <f>200000*2.5*1810</f>
        <v>905000000</v>
      </c>
      <c r="G5" s="107">
        <f>200000*2.5*1804</f>
        <v>902000000</v>
      </c>
      <c r="H5" s="107">
        <f>200000*2.5*1792</f>
        <v>896000000</v>
      </c>
      <c r="I5" s="107">
        <f>200000*2.5*1786</f>
        <v>893000000</v>
      </c>
      <c r="J5" s="117">
        <f>200000*2.5*1780</f>
        <v>890000000</v>
      </c>
      <c r="K5" s="107">
        <f>200000*2.5*1795</f>
        <v>897500000</v>
      </c>
      <c r="L5" s="107">
        <f>200000*2.5*1801</f>
        <v>900500000</v>
      </c>
      <c r="M5" s="107">
        <f>200000*2.5*1799</f>
        <v>899500000</v>
      </c>
    </row>
    <row r="6" spans="1:13" x14ac:dyDescent="0.25">
      <c r="A6" s="175"/>
      <c r="B6" s="167" t="s">
        <v>101</v>
      </c>
      <c r="C6" s="167"/>
      <c r="D6" s="167"/>
      <c r="E6" s="168"/>
      <c r="F6" s="115">
        <f>SUM(F3:F5)</f>
        <v>3801000000</v>
      </c>
      <c r="G6" s="110">
        <f t="shared" ref="G6:M6" si="0">SUM(G3:G5)</f>
        <v>3788400000</v>
      </c>
      <c r="H6" s="110">
        <f t="shared" si="0"/>
        <v>3763200000</v>
      </c>
      <c r="I6" s="110">
        <f t="shared" si="0"/>
        <v>3750600000</v>
      </c>
      <c r="J6" s="118">
        <f t="shared" si="0"/>
        <v>3738000000</v>
      </c>
      <c r="K6" s="110">
        <f t="shared" si="0"/>
        <v>3769500000</v>
      </c>
      <c r="L6" s="110">
        <f t="shared" si="0"/>
        <v>3782100000</v>
      </c>
      <c r="M6" s="110">
        <f t="shared" si="0"/>
        <v>3777900000</v>
      </c>
    </row>
    <row r="7" spans="1:13" x14ac:dyDescent="0.25">
      <c r="A7" s="175"/>
    </row>
    <row r="8" spans="1:13" ht="15.75" x14ac:dyDescent="0.25">
      <c r="A8" s="175"/>
      <c r="F8" s="202" t="s">
        <v>103</v>
      </c>
      <c r="G8" s="203" t="s">
        <v>104</v>
      </c>
    </row>
    <row r="9" spans="1:13" ht="15.75" x14ac:dyDescent="0.25">
      <c r="A9" s="175"/>
      <c r="B9" s="171" t="s">
        <v>107</v>
      </c>
      <c r="C9" s="171"/>
      <c r="D9" s="171"/>
      <c r="E9" s="125"/>
      <c r="F9" s="205">
        <f>+F6</f>
        <v>3801000000</v>
      </c>
      <c r="G9" s="206"/>
    </row>
    <row r="10" spans="1:13" ht="15.75" x14ac:dyDescent="0.25">
      <c r="A10" s="175"/>
      <c r="B10" s="171" t="s">
        <v>102</v>
      </c>
      <c r="C10" s="171"/>
      <c r="D10" s="171"/>
      <c r="E10" s="125"/>
      <c r="F10" s="207">
        <v>102500000</v>
      </c>
      <c r="G10" s="206"/>
    </row>
    <row r="11" spans="1:13" ht="15.75" x14ac:dyDescent="0.25">
      <c r="A11" s="175"/>
      <c r="B11" s="171" t="s">
        <v>105</v>
      </c>
      <c r="C11" s="171"/>
      <c r="D11" s="171"/>
      <c r="E11" s="125"/>
      <c r="F11" s="207">
        <f>+G11*1780</f>
        <v>10181600</v>
      </c>
      <c r="G11" s="208">
        <f>26*220</f>
        <v>5720</v>
      </c>
    </row>
    <row r="12" spans="1:13" ht="15.75" x14ac:dyDescent="0.25">
      <c r="A12" s="175"/>
      <c r="B12" s="171" t="s">
        <v>106</v>
      </c>
      <c r="C12" s="171"/>
      <c r="D12" s="171"/>
      <c r="E12" s="125"/>
      <c r="F12" s="207">
        <f>+G12*1780</f>
        <v>2776800</v>
      </c>
      <c r="G12" s="208">
        <f>20*3*26</f>
        <v>1560</v>
      </c>
    </row>
    <row r="13" spans="1:13" ht="15.75" x14ac:dyDescent="0.25">
      <c r="A13" s="175"/>
      <c r="B13" s="171" t="s">
        <v>108</v>
      </c>
      <c r="C13" s="171"/>
      <c r="D13" s="171"/>
      <c r="E13" s="125"/>
      <c r="F13" s="207">
        <f>+F9*0.005</f>
        <v>19005000</v>
      </c>
      <c r="G13" s="206"/>
    </row>
    <row r="14" spans="1:13" ht="15.75" x14ac:dyDescent="0.25">
      <c r="A14" s="175"/>
      <c r="B14" s="171" t="s">
        <v>128</v>
      </c>
      <c r="C14" s="171"/>
      <c r="D14" s="171"/>
      <c r="E14" s="125"/>
      <c r="F14" s="209">
        <v>16594941</v>
      </c>
      <c r="G14" s="206"/>
    </row>
    <row r="15" spans="1:13" ht="15.75" x14ac:dyDescent="0.25">
      <c r="A15" s="175"/>
      <c r="B15" s="171" t="s">
        <v>116</v>
      </c>
      <c r="C15" s="171"/>
      <c r="D15" s="171"/>
      <c r="E15" s="125"/>
      <c r="F15" s="207">
        <v>2400000</v>
      </c>
      <c r="G15" s="206"/>
      <c r="H15" t="s">
        <v>41</v>
      </c>
    </row>
    <row r="16" spans="1:13" x14ac:dyDescent="0.25">
      <c r="A16" s="175"/>
      <c r="B16" t="s">
        <v>127</v>
      </c>
      <c r="F16" s="108">
        <v>2100000</v>
      </c>
      <c r="G16" s="2">
        <v>40</v>
      </c>
      <c r="H16" s="204">
        <v>20</v>
      </c>
      <c r="I16" s="2">
        <v>40</v>
      </c>
    </row>
    <row r="17" spans="1:9" x14ac:dyDescent="0.25">
      <c r="A17" s="175"/>
      <c r="F17" s="132">
        <f>+F16+F14</f>
        <v>18694941</v>
      </c>
      <c r="G17" s="2">
        <f>+F17*40%</f>
        <v>7477976.4000000004</v>
      </c>
      <c r="H17" s="2">
        <f>+F17*20%</f>
        <v>3738988.2</v>
      </c>
      <c r="I17" s="2">
        <f>+F17*40%</f>
        <v>7477976.4000000004</v>
      </c>
    </row>
    <row r="18" spans="1:9" x14ac:dyDescent="0.25">
      <c r="A18" s="175"/>
      <c r="F18" s="131">
        <f>SUM(F10:F16)</f>
        <v>155558341</v>
      </c>
      <c r="G18" s="2"/>
      <c r="H18" s="2"/>
      <c r="I18" s="2"/>
    </row>
    <row r="19" spans="1:9" x14ac:dyDescent="0.25">
      <c r="A19" s="175"/>
      <c r="F19" s="119"/>
      <c r="G19" s="2">
        <f>+F18*40%</f>
        <v>62223336.400000006</v>
      </c>
      <c r="H19" s="2">
        <f>+F18*20%</f>
        <v>31111668.200000003</v>
      </c>
      <c r="I19" s="2">
        <f>+F18*40%</f>
        <v>62223336.400000006</v>
      </c>
    </row>
    <row r="20" spans="1:9" ht="15.75" thickBot="1" x14ac:dyDescent="0.3">
      <c r="A20" s="175"/>
      <c r="F20" s="119"/>
    </row>
    <row r="21" spans="1:9" ht="16.5" thickBot="1" x14ac:dyDescent="0.3">
      <c r="A21" s="175"/>
      <c r="B21" s="172" t="s">
        <v>117</v>
      </c>
      <c r="C21" s="173"/>
      <c r="D21" s="173"/>
      <c r="E21" s="174"/>
      <c r="F21" s="126">
        <f>SUM(F9:F20)</f>
        <v>4130811623</v>
      </c>
    </row>
    <row r="22" spans="1:9" x14ac:dyDescent="0.25">
      <c r="A22" s="170" t="s">
        <v>118</v>
      </c>
      <c r="B22" s="134" t="s">
        <v>129</v>
      </c>
      <c r="C22" s="134"/>
      <c r="F22" s="133">
        <f>+F21*0.005</f>
        <v>20654058.115000002</v>
      </c>
    </row>
    <row r="23" spans="1:9" x14ac:dyDescent="0.25">
      <c r="A23" s="170"/>
      <c r="B23" t="s">
        <v>119</v>
      </c>
      <c r="F23" s="120">
        <f>+G23*1780</f>
        <v>105198000</v>
      </c>
      <c r="G23" s="113">
        <f>(25*2300)+(1*1600)</f>
        <v>59100</v>
      </c>
    </row>
    <row r="24" spans="1:9" x14ac:dyDescent="0.25">
      <c r="A24" s="170"/>
      <c r="B24" t="s">
        <v>108</v>
      </c>
      <c r="F24" s="120">
        <f>+F21*0.005</f>
        <v>20654058.115000002</v>
      </c>
      <c r="G24" s="113">
        <f>+F24/1780</f>
        <v>11603.40343539326</v>
      </c>
    </row>
    <row r="25" spans="1:9" x14ac:dyDescent="0.25">
      <c r="A25" s="170"/>
      <c r="B25" t="s">
        <v>120</v>
      </c>
      <c r="F25" s="120">
        <f>+G25*1780</f>
        <v>694200</v>
      </c>
      <c r="G25" s="113">
        <f>15*26</f>
        <v>390</v>
      </c>
    </row>
    <row r="26" spans="1:9" x14ac:dyDescent="0.25">
      <c r="A26" s="170"/>
      <c r="F26" s="105">
        <f>+F23+F24</f>
        <v>125852058.11500001</v>
      </c>
      <c r="G26">
        <f>+F26*40%</f>
        <v>50340823.246000007</v>
      </c>
      <c r="H26">
        <f>+F26*20%</f>
        <v>25170411.623000003</v>
      </c>
      <c r="I26">
        <f>+F26*40%</f>
        <v>50340823.246000007</v>
      </c>
    </row>
    <row r="27" spans="1:9" x14ac:dyDescent="0.25">
      <c r="A27" s="170"/>
      <c r="F27" s="105">
        <f>+F25</f>
        <v>694200</v>
      </c>
      <c r="G27">
        <f>+F25*40%</f>
        <v>277680</v>
      </c>
      <c r="H27">
        <f>+F25*20%</f>
        <v>138840</v>
      </c>
      <c r="I27">
        <f>+F25*40%</f>
        <v>277680</v>
      </c>
    </row>
    <row r="28" spans="1:9" ht="15.75" x14ac:dyDescent="0.25">
      <c r="A28" s="170"/>
      <c r="B28" t="s">
        <v>101</v>
      </c>
      <c r="F28" s="127">
        <f>SUM(F21:F25)</f>
        <v>4278011939.2299995</v>
      </c>
    </row>
    <row r="29" spans="1:9" x14ac:dyDescent="0.25">
      <c r="A29" s="170"/>
    </row>
    <row r="30" spans="1:9" x14ac:dyDescent="0.25">
      <c r="A30" s="170"/>
    </row>
    <row r="31" spans="1:9" x14ac:dyDescent="0.25">
      <c r="A31" s="170"/>
    </row>
    <row r="32" spans="1:9" x14ac:dyDescent="0.25">
      <c r="A32" s="170"/>
    </row>
    <row r="33" spans="1:12" x14ac:dyDescent="0.25">
      <c r="A33" s="170"/>
    </row>
    <row r="34" spans="1:12" s="137" customFormat="1" ht="15.75" thickBot="1" x14ac:dyDescent="0.3">
      <c r="A34" s="170"/>
      <c r="F34" s="181" t="s">
        <v>121</v>
      </c>
      <c r="G34" s="182" t="s">
        <v>122</v>
      </c>
      <c r="H34" s="182" t="s">
        <v>123</v>
      </c>
      <c r="I34" s="182" t="s">
        <v>124</v>
      </c>
      <c r="J34" s="182" t="s">
        <v>125</v>
      </c>
      <c r="K34" s="182" t="s">
        <v>49</v>
      </c>
    </row>
    <row r="35" spans="1:12" s="193" customFormat="1" ht="39" customHeight="1" thickBot="1" x14ac:dyDescent="0.3">
      <c r="A35" s="190" t="s">
        <v>90</v>
      </c>
      <c r="B35" s="191"/>
      <c r="C35" s="191"/>
      <c r="D35" s="192"/>
      <c r="F35" s="184">
        <f>+F3</f>
        <v>1629000000</v>
      </c>
      <c r="G35" s="188">
        <f>+F3</f>
        <v>1629000000</v>
      </c>
      <c r="H35" s="188">
        <f>+G37</f>
        <v>1636477976.4000001</v>
      </c>
      <c r="I35" s="239">
        <f>+H37</f>
        <v>1698701312.8000002</v>
      </c>
      <c r="J35" s="188">
        <f>+I37</f>
        <v>1749042136.0460002</v>
      </c>
      <c r="K35" s="189"/>
    </row>
    <row r="36" spans="1:12" ht="39" customHeight="1" x14ac:dyDescent="0.25">
      <c r="A36" s="129"/>
      <c r="B36" s="129"/>
      <c r="C36" s="129"/>
      <c r="D36" s="129"/>
      <c r="F36" s="179"/>
      <c r="G36" s="128">
        <f>+G17</f>
        <v>7477976.4000000004</v>
      </c>
      <c r="H36" s="128">
        <f>+G19</f>
        <v>62223336.400000006</v>
      </c>
      <c r="I36" s="240">
        <f>+G26</f>
        <v>50340823.246000007</v>
      </c>
      <c r="J36" s="128">
        <f>+G27</f>
        <v>277680</v>
      </c>
      <c r="K36" s="183"/>
    </row>
    <row r="37" spans="1:12" s="212" customFormat="1" ht="39" customHeight="1" x14ac:dyDescent="0.25">
      <c r="A37" s="211"/>
      <c r="B37" s="211"/>
      <c r="C37" s="211"/>
      <c r="D37" s="211"/>
      <c r="F37" s="213"/>
      <c r="G37" s="214">
        <f>SUM(G35:G36)</f>
        <v>1636477976.4000001</v>
      </c>
      <c r="H37" s="214">
        <f>SUM(H35:H36)</f>
        <v>1698701312.8000002</v>
      </c>
      <c r="I37" s="241">
        <f>SUM(I35:I36)</f>
        <v>1749042136.0460002</v>
      </c>
      <c r="J37" s="214">
        <f>SUM(J35:J36)</f>
        <v>1749319816.0460002</v>
      </c>
      <c r="K37" s="215"/>
    </row>
    <row r="38" spans="1:12" s="217" customFormat="1" ht="16.5" customHeight="1" thickBot="1" x14ac:dyDescent="0.3">
      <c r="A38" s="216"/>
      <c r="B38" s="216"/>
      <c r="C38" s="216"/>
      <c r="D38" s="216"/>
      <c r="F38" s="218"/>
      <c r="G38" s="219">
        <f>+G36/F35</f>
        <v>4.5905318600368327E-3</v>
      </c>
      <c r="H38" s="220">
        <f>+(G36+H36)/F35</f>
        <v>4.2787791774094544E-2</v>
      </c>
      <c r="I38" s="242">
        <f>+(G36+H36+I36)/F35</f>
        <v>7.3690691249846549E-2</v>
      </c>
      <c r="J38" s="221">
        <f>+(G36+H36+I36+J36)/F35</f>
        <v>7.3861151655003079E-2</v>
      </c>
      <c r="K38" s="222"/>
    </row>
    <row r="39" spans="1:12" s="125" customFormat="1" ht="39" customHeight="1" thickBot="1" x14ac:dyDescent="0.3">
      <c r="A39" s="190" t="s">
        <v>99</v>
      </c>
      <c r="B39" s="191"/>
      <c r="C39" s="191"/>
      <c r="D39" s="192"/>
      <c r="F39" s="184">
        <f>+F4</f>
        <v>1267000000</v>
      </c>
      <c r="G39" s="185">
        <f>+F39</f>
        <v>1267000000</v>
      </c>
      <c r="H39" s="185">
        <f>+G41</f>
        <v>1270738988.2</v>
      </c>
      <c r="I39" s="243">
        <f>+H41</f>
        <v>1301850656.4000001</v>
      </c>
      <c r="J39" s="185">
        <f>+I41</f>
        <v>1327021068.023</v>
      </c>
      <c r="K39" s="189"/>
    </row>
    <row r="40" spans="1:12" ht="39" customHeight="1" x14ac:dyDescent="0.25">
      <c r="A40" s="129"/>
      <c r="B40" s="129"/>
      <c r="C40" s="129"/>
      <c r="D40" s="129"/>
      <c r="F40" s="179"/>
      <c r="G40" s="130">
        <f>+H17</f>
        <v>3738988.2</v>
      </c>
      <c r="H40" s="106">
        <f>+H19</f>
        <v>31111668.200000003</v>
      </c>
      <c r="I40" s="244">
        <f>+H26</f>
        <v>25170411.623000003</v>
      </c>
      <c r="J40" s="106">
        <f>+H27</f>
        <v>138840</v>
      </c>
      <c r="K40" s="180"/>
      <c r="L40">
        <f>4.5*7.2%</f>
        <v>0.32400000000000007</v>
      </c>
    </row>
    <row r="41" spans="1:12" s="224" customFormat="1" ht="39" customHeight="1" x14ac:dyDescent="0.25">
      <c r="A41" s="223"/>
      <c r="B41" s="223"/>
      <c r="C41" s="223"/>
      <c r="D41" s="223"/>
      <c r="F41" s="213"/>
      <c r="G41" s="225">
        <f>SUM(G39:G40)</f>
        <v>1270738988.2</v>
      </c>
      <c r="H41" s="225">
        <f>SUM(H39:H40)</f>
        <v>1301850656.4000001</v>
      </c>
      <c r="I41" s="245">
        <f>SUM(I39:I40)</f>
        <v>1327021068.023</v>
      </c>
      <c r="J41" s="225">
        <f>SUM(J39:J40)</f>
        <v>1327159908.023</v>
      </c>
      <c r="K41" s="215"/>
    </row>
    <row r="42" spans="1:12" s="217" customFormat="1" ht="39" customHeight="1" thickBot="1" x14ac:dyDescent="0.3">
      <c r="A42" s="216"/>
      <c r="B42" s="216"/>
      <c r="C42" s="216"/>
      <c r="D42" s="216"/>
      <c r="F42" s="218"/>
      <c r="G42" s="219">
        <f>+G40/F39</f>
        <v>2.9510561957379637E-3</v>
      </c>
      <c r="H42" s="219">
        <f>+(G40+H40)/F39</f>
        <v>2.7506437569060779E-2</v>
      </c>
      <c r="I42" s="246">
        <f>+(G40+H40+I40)/F39</f>
        <v>4.7372587232044204E-2</v>
      </c>
      <c r="J42" s="221">
        <f>+(G40+H40+I40+J40)/F39</f>
        <v>4.748216892107341E-2</v>
      </c>
      <c r="K42" s="226"/>
    </row>
    <row r="43" spans="1:12" s="197" customFormat="1" ht="39" customHeight="1" thickBot="1" x14ac:dyDescent="0.35">
      <c r="A43" s="194" t="s">
        <v>100</v>
      </c>
      <c r="B43" s="195"/>
      <c r="C43" s="195"/>
      <c r="D43" s="196"/>
      <c r="F43" s="186">
        <f>+F5</f>
        <v>905000000</v>
      </c>
      <c r="G43" s="187">
        <f>+F43</f>
        <v>905000000</v>
      </c>
      <c r="H43" s="187">
        <f>+G45</f>
        <v>912477976.39999998</v>
      </c>
      <c r="I43" s="247">
        <f>+H45</f>
        <v>974701312.79999995</v>
      </c>
      <c r="J43" s="187">
        <f>+I45</f>
        <v>1025042136.046</v>
      </c>
      <c r="K43" s="198"/>
    </row>
    <row r="44" spans="1:12" ht="21.75" customHeight="1" x14ac:dyDescent="0.25">
      <c r="F44" s="177"/>
      <c r="G44" s="2">
        <f>+I17</f>
        <v>7477976.4000000004</v>
      </c>
      <c r="H44" s="2">
        <f>+I19</f>
        <v>62223336.400000006</v>
      </c>
      <c r="I44" s="29">
        <f>+I26</f>
        <v>50340823.246000007</v>
      </c>
      <c r="J44" s="136">
        <f>+I27</f>
        <v>277680</v>
      </c>
      <c r="K44" s="178"/>
    </row>
    <row r="45" spans="1:12" s="212" customFormat="1" ht="21.75" customHeight="1" x14ac:dyDescent="0.25">
      <c r="F45" s="227"/>
      <c r="G45" s="228">
        <f>SUM(G43:G44)</f>
        <v>912477976.39999998</v>
      </c>
      <c r="H45" s="228">
        <f>SUM(H43:H44)</f>
        <v>974701312.79999995</v>
      </c>
      <c r="I45" s="248">
        <f>SUM(I43:I44)</f>
        <v>1025042136.046</v>
      </c>
      <c r="J45" s="228">
        <f>SUM(J43:J44)</f>
        <v>1025319816.046</v>
      </c>
      <c r="K45" s="229"/>
    </row>
    <row r="46" spans="1:12" s="230" customFormat="1" ht="21.75" customHeight="1" thickBot="1" x14ac:dyDescent="0.3">
      <c r="F46" s="231"/>
      <c r="G46" s="232">
        <f>+G44/F43</f>
        <v>8.2629573480662993E-3</v>
      </c>
      <c r="H46" s="232">
        <f>+(G44+H44)/F43</f>
        <v>7.7018025193370185E-2</v>
      </c>
      <c r="I46" s="249">
        <f>+(G44+H44+I44)/F43</f>
        <v>0.13264324424972379</v>
      </c>
      <c r="J46" s="232">
        <f>+(G44+H44+I44+J44)/F43</f>
        <v>0.13295007297900555</v>
      </c>
      <c r="K46" s="233"/>
    </row>
    <row r="47" spans="1:12" s="193" customFormat="1" ht="16.5" thickBot="1" x14ac:dyDescent="0.3">
      <c r="A47" s="190" t="s">
        <v>131</v>
      </c>
      <c r="B47" s="191"/>
      <c r="C47" s="191"/>
      <c r="D47" s="192"/>
      <c r="F47" s="199">
        <f>+F9</f>
        <v>3801000000</v>
      </c>
      <c r="G47" s="200">
        <f>+F47</f>
        <v>3801000000</v>
      </c>
      <c r="H47" s="200">
        <f>+G49</f>
        <v>3818600000</v>
      </c>
      <c r="I47" s="250">
        <f>+H49</f>
        <v>3948406000</v>
      </c>
      <c r="J47" s="200">
        <f>+I49</f>
        <v>4071406000</v>
      </c>
      <c r="K47" s="201"/>
    </row>
    <row r="48" spans="1:12" ht="21.75" customHeight="1" x14ac:dyDescent="0.25">
      <c r="F48" s="135"/>
      <c r="G48" s="2">
        <v>17600000</v>
      </c>
      <c r="H48" s="2">
        <v>129806000</v>
      </c>
      <c r="I48" s="29">
        <v>123000000</v>
      </c>
      <c r="J48" s="136">
        <v>675000</v>
      </c>
      <c r="K48" s="2">
        <f>SUM(G48:J48)</f>
        <v>271081000</v>
      </c>
    </row>
    <row r="49" spans="1:11" s="212" customFormat="1" ht="21.75" customHeight="1" x14ac:dyDescent="0.25">
      <c r="F49" s="234"/>
      <c r="G49" s="228">
        <f>SUM(G47:G48)</f>
        <v>3818600000</v>
      </c>
      <c r="H49" s="228">
        <f>SUM(H47:H48)</f>
        <v>3948406000</v>
      </c>
      <c r="I49" s="248">
        <f>SUM(I47:I48)</f>
        <v>4071406000</v>
      </c>
      <c r="J49" s="228">
        <f>SUM(J47:J48)</f>
        <v>4072081000</v>
      </c>
      <c r="K49" s="235"/>
    </row>
    <row r="50" spans="1:11" s="217" customFormat="1" ht="21.75" customHeight="1" x14ac:dyDescent="0.25">
      <c r="F50" s="236"/>
      <c r="G50" s="237">
        <f>+G48/F47</f>
        <v>4.6303604314654042E-3</v>
      </c>
      <c r="H50" s="237">
        <f>+H48/F47</f>
        <v>3.4150486714022626E-2</v>
      </c>
      <c r="I50" s="251">
        <f>(G48+H48+I48)/F47</f>
        <v>7.1140752433570112E-2</v>
      </c>
      <c r="J50" s="238">
        <f>+K48/F47</f>
        <v>7.1318337279663246E-2</v>
      </c>
      <c r="K50" s="237"/>
    </row>
    <row r="51" spans="1:11" ht="15.75" thickBot="1" x14ac:dyDescent="0.3">
      <c r="I51" s="134" t="s">
        <v>130</v>
      </c>
    </row>
    <row r="52" spans="1:11" ht="15.75" thickBot="1" x14ac:dyDescent="0.3">
      <c r="A52" s="141" t="s">
        <v>133</v>
      </c>
      <c r="B52" s="143"/>
    </row>
    <row r="53" spans="1:11" x14ac:dyDescent="0.25">
      <c r="A53" t="s">
        <v>134</v>
      </c>
    </row>
    <row r="54" spans="1:11" x14ac:dyDescent="0.25">
      <c r="A54" t="s">
        <v>135</v>
      </c>
    </row>
    <row r="55" spans="1:11" x14ac:dyDescent="0.25">
      <c r="A55" t="s">
        <v>136</v>
      </c>
    </row>
    <row r="56" spans="1:11" x14ac:dyDescent="0.25">
      <c r="A56" t="s">
        <v>137</v>
      </c>
    </row>
    <row r="57" spans="1:11" x14ac:dyDescent="0.25">
      <c r="A57" t="s">
        <v>138</v>
      </c>
    </row>
    <row r="58" spans="1:11" x14ac:dyDescent="0.25">
      <c r="A58" t="s">
        <v>143</v>
      </c>
    </row>
    <row r="59" spans="1:11" x14ac:dyDescent="0.25">
      <c r="A59" t="s">
        <v>144</v>
      </c>
    </row>
  </sheetData>
  <mergeCells count="20">
    <mergeCell ref="B4:E4"/>
    <mergeCell ref="B5:E5"/>
    <mergeCell ref="A1:M1"/>
    <mergeCell ref="A52:B52"/>
    <mergeCell ref="B6:E6"/>
    <mergeCell ref="A47:D47"/>
    <mergeCell ref="A35:D35"/>
    <mergeCell ref="A39:D39"/>
    <mergeCell ref="A43:D43"/>
    <mergeCell ref="A22:A34"/>
    <mergeCell ref="B9:D9"/>
    <mergeCell ref="B10:D10"/>
    <mergeCell ref="B11:D11"/>
    <mergeCell ref="B12:D12"/>
    <mergeCell ref="B13:D13"/>
    <mergeCell ref="B14:D14"/>
    <mergeCell ref="B15:D15"/>
    <mergeCell ref="B21:E21"/>
    <mergeCell ref="A3:A21"/>
    <mergeCell ref="B3:E3"/>
  </mergeCells>
  <pageMargins left="0.7" right="0.7" top="0.75" bottom="0.75" header="0.3" footer="0.3"/>
  <pageSetup orientation="landscape" r:id="rId1"/>
  <ignoredErrors>
    <ignoredError sqref="F24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opLeftCell="H1" zoomScale="96" zoomScaleNormal="96" workbookViewId="0">
      <selection activeCell="U7" sqref="U7"/>
    </sheetView>
  </sheetViews>
  <sheetFormatPr baseColWidth="10" defaultRowHeight="15" x14ac:dyDescent="0.25"/>
  <cols>
    <col min="10" max="10" width="14.85546875" bestFit="1" customWidth="1"/>
    <col min="13" max="13" width="11.42578125" style="104"/>
    <col min="15" max="15" width="11.42578125" style="104"/>
    <col min="17" max="17" width="12.5703125" bestFit="1" customWidth="1"/>
  </cols>
  <sheetData>
    <row r="1" spans="1:21" ht="45" x14ac:dyDescent="0.25">
      <c r="A1" s="99"/>
      <c r="B1" s="99" t="s">
        <v>77</v>
      </c>
      <c r="C1" s="99" t="s">
        <v>78</v>
      </c>
      <c r="D1" s="99" t="s">
        <v>79</v>
      </c>
      <c r="E1" s="99" t="s">
        <v>74</v>
      </c>
      <c r="F1" s="99" t="s">
        <v>81</v>
      </c>
      <c r="G1" s="99" t="s">
        <v>82</v>
      </c>
      <c r="H1" s="99" t="s">
        <v>83</v>
      </c>
      <c r="I1" s="99" t="s">
        <v>84</v>
      </c>
      <c r="J1" s="99" t="s">
        <v>112</v>
      </c>
      <c r="K1" s="99" t="s">
        <v>85</v>
      </c>
      <c r="L1" s="101" t="s">
        <v>88</v>
      </c>
      <c r="M1" s="102" t="s">
        <v>86</v>
      </c>
      <c r="N1" s="101" t="s">
        <v>87</v>
      </c>
      <c r="O1" s="102" t="s">
        <v>89</v>
      </c>
      <c r="P1" s="101" t="s">
        <v>109</v>
      </c>
      <c r="Q1" s="102" t="s">
        <v>110</v>
      </c>
      <c r="R1" s="101" t="s">
        <v>113</v>
      </c>
      <c r="S1" s="102" t="s">
        <v>114</v>
      </c>
      <c r="T1" s="101" t="s">
        <v>115</v>
      </c>
      <c r="U1" s="102" t="s">
        <v>126</v>
      </c>
    </row>
    <row r="2" spans="1:21" x14ac:dyDescent="0.25">
      <c r="A2" t="s">
        <v>73</v>
      </c>
      <c r="B2">
        <v>200000</v>
      </c>
      <c r="C2">
        <v>172.8</v>
      </c>
      <c r="D2" t="s">
        <v>80</v>
      </c>
      <c r="E2">
        <v>200000</v>
      </c>
      <c r="F2">
        <v>360000</v>
      </c>
      <c r="G2">
        <v>67.7</v>
      </c>
      <c r="H2">
        <v>33.200000000000003</v>
      </c>
      <c r="I2" s="100">
        <f>+E2/555</f>
        <v>360.36036036036035</v>
      </c>
      <c r="J2" s="100"/>
      <c r="K2">
        <v>555</v>
      </c>
      <c r="L2">
        <v>35</v>
      </c>
      <c r="M2" s="103">
        <f>+I2/L2</f>
        <v>10.296010296010296</v>
      </c>
      <c r="N2">
        <v>10</v>
      </c>
      <c r="O2" s="104">
        <v>1</v>
      </c>
      <c r="P2">
        <f>+M2*18</f>
        <v>185.32818532818533</v>
      </c>
      <c r="R2">
        <f>8+10</f>
        <v>18</v>
      </c>
      <c r="S2">
        <v>5000</v>
      </c>
      <c r="T2">
        <v>400</v>
      </c>
      <c r="U2">
        <v>3</v>
      </c>
    </row>
    <row r="3" spans="1:21" x14ac:dyDescent="0.25">
      <c r="A3" t="s">
        <v>75</v>
      </c>
      <c r="B3">
        <v>100000</v>
      </c>
      <c r="C3">
        <v>216</v>
      </c>
      <c r="D3" t="s">
        <v>80</v>
      </c>
      <c r="E3">
        <v>100000</v>
      </c>
      <c r="F3">
        <v>280000</v>
      </c>
      <c r="I3" s="100">
        <f>+E3/357</f>
        <v>280.1120448179272</v>
      </c>
      <c r="J3" s="100"/>
      <c r="K3">
        <v>357</v>
      </c>
      <c r="L3">
        <v>35</v>
      </c>
      <c r="M3" s="103">
        <f t="shared" ref="M3:M4" si="0">+I3/L3</f>
        <v>8.0032012805122061</v>
      </c>
      <c r="P3">
        <f t="shared" ref="P3:P4" si="1">+M3*18</f>
        <v>144.0576230492197</v>
      </c>
    </row>
    <row r="4" spans="1:21" ht="15.75" thickBot="1" x14ac:dyDescent="0.3">
      <c r="A4" t="s">
        <v>76</v>
      </c>
      <c r="B4">
        <v>200000</v>
      </c>
      <c r="C4">
        <v>54</v>
      </c>
      <c r="D4" t="s">
        <v>80</v>
      </c>
      <c r="E4">
        <v>200000</v>
      </c>
      <c r="F4">
        <v>240000</v>
      </c>
      <c r="I4" s="100">
        <f>+E4/833</f>
        <v>240.09603841536614</v>
      </c>
      <c r="J4" s="100"/>
      <c r="K4">
        <v>833</v>
      </c>
      <c r="L4">
        <v>35</v>
      </c>
      <c r="M4" s="103">
        <f t="shared" si="0"/>
        <v>6.8598868118676037</v>
      </c>
      <c r="P4">
        <f t="shared" si="1"/>
        <v>123.47796261361687</v>
      </c>
    </row>
    <row r="5" spans="1:21" ht="29.25" thickBot="1" x14ac:dyDescent="0.5">
      <c r="A5" t="s">
        <v>111</v>
      </c>
      <c r="F5" s="121">
        <f>SUM(F2:F4)</f>
        <v>880000</v>
      </c>
      <c r="I5" s="100">
        <f>SUM(I2:I4)</f>
        <v>880.56844359365368</v>
      </c>
      <c r="J5" s="123">
        <f>+I5*10000</f>
        <v>8805684.4359365366</v>
      </c>
      <c r="M5" s="111">
        <f>SUM(M2:M4)</f>
        <v>25.159098388390106</v>
      </c>
      <c r="O5" s="112">
        <v>1</v>
      </c>
      <c r="P5">
        <v>0</v>
      </c>
    </row>
    <row r="6" spans="1:21" x14ac:dyDescent="0.25">
      <c r="P6" s="100">
        <f>SUM(P2:P5)</f>
        <v>452.86377099102191</v>
      </c>
      <c r="Q6" s="124">
        <f>+P6*6000</f>
        <v>2717182.6259461315</v>
      </c>
      <c r="R6" s="16">
        <f>+R2*20*I5</f>
        <v>317004.63969371532</v>
      </c>
      <c r="S6" s="2">
        <f>+S2*I5</f>
        <v>4402842.2179682683</v>
      </c>
      <c r="T6" s="16">
        <f>+T2*I5</f>
        <v>352227.37743746146</v>
      </c>
      <c r="U6">
        <v>2100000</v>
      </c>
    </row>
    <row r="8" spans="1:21" x14ac:dyDescent="0.25">
      <c r="Q8" s="122">
        <f>+J5+Q6+R6+S6+T6</f>
        <v>16594941.296982111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importaciones</vt:lpstr>
      <vt:lpstr>exportacion</vt:lpstr>
      <vt:lpstr>cubicaje de la carga </vt:lpstr>
      <vt:lpstr>Hoja1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2012-02-11T00:41:07Z</cp:lastPrinted>
  <dcterms:created xsi:type="dcterms:W3CDTF">2012-02-08T00:21:21Z</dcterms:created>
  <dcterms:modified xsi:type="dcterms:W3CDTF">2012-02-11T01:03:41Z</dcterms:modified>
</cp:coreProperties>
</file>