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9360" windowHeight="3510" tabRatio="981" firstSheet="13" activeTab="16"/>
  </bookViews>
  <sheets>
    <sheet name="productos" sheetId="4" state="hidden" r:id="rId1"/>
    <sheet name="RED DISTRIBUCION MES 2" sheetId="3" state="hidden" r:id="rId2"/>
    <sheet name="RED DISTRIBUCION MES 3" sheetId="5" state="hidden" r:id="rId3"/>
    <sheet name="RED DISTRIBUCION MES 4" sheetId="6" state="hidden" r:id="rId4"/>
    <sheet name="RED DISTRIBUCION MES 5" sheetId="7" state="hidden" r:id="rId5"/>
    <sheet name="RED DISTRIBUCION MES 6" sheetId="8" state="hidden" r:id="rId6"/>
    <sheet name="RED DISTRIBUCION MES 7" sheetId="9" state="hidden" r:id="rId7"/>
    <sheet name="RED DISTRIBUCION MES 8" sheetId="10" state="hidden" r:id="rId8"/>
    <sheet name="RED DISTRIBUCION MES 9" sheetId="11" state="hidden" r:id="rId9"/>
    <sheet name="RED DISTRIBUCION MES 10" sheetId="12" state="hidden" r:id="rId10"/>
    <sheet name="RED DISTRIBUCION MES 11" sheetId="13" state="hidden" r:id="rId11"/>
    <sheet name="RED DISTRIBUCION MES 12" sheetId="14" state="hidden" r:id="rId12"/>
    <sheet name="PRODUCTOS 2" sheetId="23" state="hidden" r:id="rId13"/>
    <sheet name="pronostico" sheetId="1" r:id="rId14"/>
    <sheet name="RED DISTRIBUCION MES 1" sheetId="2" state="hidden" r:id="rId15"/>
    <sheet name="1-CLIENTE-RED-ENDEUDAMIEN" sheetId="15" r:id="rId16"/>
    <sheet name="2-HIPERVINCULO RUTAS  DIST" sheetId="25" r:id="rId17"/>
    <sheet name="3-PROGRAMACION DE VISITAS" sheetId="18" r:id="rId18"/>
    <sheet name="3-ZONIFICACION DE CARGA" sheetId="24" r:id="rId19"/>
    <sheet name="4-ENDEUDAMIENTO RED LARGA" sheetId="20" r:id="rId20"/>
    <sheet name="4-ENDEUDAMIENTO RED MEDIA" sheetId="21" r:id="rId21"/>
    <sheet name="4-ENDEUDAMIENTO RED CORTA" sheetId="22" r:id="rId22"/>
    <sheet name="LISTA DE PEDIDOS" sheetId="17" state="hidden" r:id="rId23"/>
    <sheet name="5-DISEÑO DE REDES" sheetId="28" r:id="rId24"/>
    <sheet name="6-COSTOS DE LA OPERACION" sheetId="26" r:id="rId25"/>
  </sheets>
  <definedNames>
    <definedName name="_xlnm._FilterDatabase" localSheetId="15" hidden="1">'1-CLIENTE-RED-ENDEUDAMIEN'!$A$3:$M$183</definedName>
    <definedName name="_xlnm._FilterDatabase" localSheetId="19" hidden="1">'4-ENDEUDAMIENTO RED LARGA'!$A$3:$R$51</definedName>
    <definedName name="_xlnm._FilterDatabase" localSheetId="22" hidden="1">'LISTA DE PEDIDOS'!$A$2:$V$50</definedName>
    <definedName name="_xlnm._FilterDatabase" localSheetId="0" hidden="1">productos!$C$4:$P$54</definedName>
  </definedNames>
  <calcPr calcId="144525"/>
</workbook>
</file>

<file path=xl/calcChain.xml><?xml version="1.0" encoding="utf-8"?>
<calcChain xmlns="http://schemas.openxmlformats.org/spreadsheetml/2006/main">
  <c r="C19" i="26" l="1"/>
  <c r="F51" i="1"/>
  <c r="E5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3" i="1"/>
  <c r="Q51" i="1"/>
  <c r="P51" i="1"/>
  <c r="O51" i="1"/>
  <c r="N51" i="1"/>
  <c r="M51" i="1"/>
  <c r="L51" i="1"/>
  <c r="K51" i="1"/>
  <c r="J51" i="1"/>
  <c r="I51" i="1"/>
  <c r="H51" i="1"/>
  <c r="G51" i="1"/>
  <c r="D51" i="1"/>
  <c r="M31" i="28"/>
  <c r="C31" i="28"/>
  <c r="M30" i="28"/>
  <c r="M26" i="28"/>
  <c r="M22" i="28"/>
  <c r="M18" i="28"/>
  <c r="M13" i="28"/>
  <c r="M9" i="28"/>
  <c r="I52" i="20" l="1"/>
  <c r="F30" i="28" l="1"/>
  <c r="E30" i="28"/>
  <c r="D30" i="28"/>
  <c r="F26" i="28"/>
  <c r="E26" i="28"/>
  <c r="D26" i="28"/>
  <c r="F22" i="28"/>
  <c r="E22" i="28"/>
  <c r="D22" i="28"/>
  <c r="F18" i="28"/>
  <c r="E18" i="28"/>
  <c r="D18" i="28"/>
  <c r="F13" i="28"/>
  <c r="E13" i="28"/>
  <c r="D13" i="28"/>
  <c r="K9" i="28"/>
  <c r="F9" i="28"/>
  <c r="E9" i="28"/>
  <c r="D9" i="28"/>
  <c r="D33" i="24"/>
  <c r="D31" i="28" l="1"/>
  <c r="D33" i="28" s="1"/>
  <c r="E31" i="28"/>
  <c r="F31" i="28"/>
  <c r="F30" i="24" l="1"/>
  <c r="E30" i="24"/>
  <c r="D30" i="24"/>
  <c r="F26" i="24"/>
  <c r="E26" i="24"/>
  <c r="D26" i="24"/>
  <c r="F22" i="24"/>
  <c r="E22" i="24"/>
  <c r="D22" i="24"/>
  <c r="F18" i="24"/>
  <c r="E18" i="24"/>
  <c r="D18" i="24"/>
  <c r="F13" i="24"/>
  <c r="E13" i="24"/>
  <c r="D13" i="24"/>
  <c r="K9" i="24"/>
  <c r="F9" i="24"/>
  <c r="E9" i="24"/>
  <c r="E31" i="24" s="1"/>
  <c r="D9" i="24"/>
  <c r="F31" i="24" l="1"/>
  <c r="D31" i="24"/>
  <c r="A5" i="21" l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K53" i="23" l="1"/>
  <c r="N53" i="23" s="1"/>
  <c r="K52" i="23"/>
  <c r="K51" i="23"/>
  <c r="K50" i="23"/>
  <c r="K49" i="23"/>
  <c r="N49" i="23" s="1"/>
  <c r="K48" i="23"/>
  <c r="K47" i="23"/>
  <c r="K46" i="23"/>
  <c r="K45" i="23"/>
  <c r="K44" i="23"/>
  <c r="K43" i="23"/>
  <c r="N43" i="23" s="1"/>
  <c r="K42" i="23"/>
  <c r="K41" i="23"/>
  <c r="N44" i="23"/>
  <c r="K40" i="23"/>
  <c r="N40" i="23"/>
  <c r="K39" i="23"/>
  <c r="N39" i="23" s="1"/>
  <c r="K38" i="23"/>
  <c r="L24" i="23"/>
  <c r="K24" i="23"/>
  <c r="N38" i="23"/>
  <c r="K37" i="23"/>
  <c r="K36" i="23"/>
  <c r="N36" i="23"/>
  <c r="I36" i="23"/>
  <c r="K35" i="23"/>
  <c r="K34" i="23"/>
  <c r="N34" i="23" s="1"/>
  <c r="K33" i="23"/>
  <c r="K32" i="23"/>
  <c r="K31" i="23"/>
  <c r="N31" i="23" s="1"/>
  <c r="K30" i="23"/>
  <c r="K29" i="23"/>
  <c r="N29" i="23" s="1"/>
  <c r="K28" i="23"/>
  <c r="K27" i="23"/>
  <c r="N27" i="23" s="1"/>
  <c r="K26" i="23"/>
  <c r="N26" i="23" s="1"/>
  <c r="K25" i="23"/>
  <c r="N24" i="23"/>
  <c r="K23" i="23"/>
  <c r="N23" i="23" s="1"/>
  <c r="K22" i="23"/>
  <c r="K21" i="23"/>
  <c r="K20" i="23"/>
  <c r="K19" i="23"/>
  <c r="N19" i="23" s="1"/>
  <c r="K18" i="23"/>
  <c r="K17" i="23"/>
  <c r="K16" i="23"/>
  <c r="K15" i="23"/>
  <c r="K14" i="23"/>
  <c r="N14" i="23" s="1"/>
  <c r="K13" i="23"/>
  <c r="K12" i="23"/>
  <c r="N12" i="23" s="1"/>
  <c r="N13" i="23"/>
  <c r="N7" i="23"/>
  <c r="N8" i="23"/>
  <c r="N9" i="23"/>
  <c r="N10" i="23"/>
  <c r="N11" i="23"/>
  <c r="N15" i="23"/>
  <c r="N16" i="23"/>
  <c r="N17" i="23"/>
  <c r="N18" i="23"/>
  <c r="N20" i="23"/>
  <c r="N21" i="23"/>
  <c r="N22" i="23"/>
  <c r="N25" i="23"/>
  <c r="N28" i="23"/>
  <c r="N30" i="23"/>
  <c r="N32" i="23"/>
  <c r="N33" i="23"/>
  <c r="N35" i="23"/>
  <c r="N37" i="23"/>
  <c r="N41" i="23"/>
  <c r="N42" i="23"/>
  <c r="N45" i="23"/>
  <c r="N46" i="23"/>
  <c r="N47" i="23"/>
  <c r="N48" i="23"/>
  <c r="N50" i="23"/>
  <c r="N51" i="23"/>
  <c r="N52" i="23"/>
  <c r="N6" i="23"/>
  <c r="K11" i="23"/>
  <c r="K10" i="23"/>
  <c r="K9" i="23"/>
  <c r="K8" i="23"/>
  <c r="K7" i="23"/>
  <c r="K6" i="23"/>
  <c r="I53" i="23"/>
  <c r="I52" i="23"/>
  <c r="I51" i="23"/>
  <c r="I50" i="23"/>
  <c r="I49" i="23"/>
  <c r="I48" i="23"/>
  <c r="I47" i="23"/>
  <c r="I46" i="23"/>
  <c r="I45" i="23"/>
  <c r="I44" i="23"/>
  <c r="I43" i="23"/>
  <c r="I42" i="23"/>
  <c r="I41" i="23"/>
  <c r="I40" i="23"/>
  <c r="I39" i="23"/>
  <c r="I38" i="23"/>
  <c r="I37" i="23"/>
  <c r="I35" i="23"/>
  <c r="I34" i="23"/>
  <c r="I33" i="23"/>
  <c r="I32" i="23"/>
  <c r="I31" i="23"/>
  <c r="I30" i="23"/>
  <c r="I29" i="23"/>
  <c r="I28" i="23"/>
  <c r="I27" i="23"/>
  <c r="I26" i="23"/>
  <c r="I25" i="23"/>
  <c r="I23" i="23"/>
  <c r="I22" i="23"/>
  <c r="I21" i="23"/>
  <c r="I20" i="23"/>
  <c r="I19" i="23"/>
  <c r="I18" i="23"/>
  <c r="I17" i="23"/>
  <c r="I15" i="23"/>
  <c r="I16" i="23"/>
  <c r="I14" i="23"/>
  <c r="I13" i="23"/>
  <c r="I12" i="23"/>
  <c r="I11" i="23"/>
  <c r="I10" i="23"/>
  <c r="I9" i="23"/>
  <c r="I8" i="23"/>
  <c r="I7" i="23"/>
  <c r="I6" i="23"/>
  <c r="L45" i="23" l="1"/>
  <c r="L53" i="23"/>
  <c r="L52" i="23"/>
  <c r="L51" i="23"/>
  <c r="L50" i="23"/>
  <c r="L49" i="23"/>
  <c r="L48" i="23"/>
  <c r="L47" i="23"/>
  <c r="L46" i="23"/>
  <c r="L44" i="23"/>
  <c r="L43" i="23"/>
  <c r="L42" i="23"/>
  <c r="L41" i="23"/>
  <c r="L40" i="23"/>
  <c r="L39" i="23"/>
  <c r="L38" i="23"/>
  <c r="L37" i="23"/>
  <c r="L36" i="23"/>
  <c r="L35" i="23"/>
  <c r="L25" i="23"/>
  <c r="L34" i="23"/>
  <c r="L33" i="23"/>
  <c r="L32" i="23"/>
  <c r="L31" i="23"/>
  <c r="L30" i="23"/>
  <c r="L29" i="23"/>
  <c r="L28" i="23"/>
  <c r="L27" i="23"/>
  <c r="L26" i="23"/>
  <c r="L23" i="23"/>
  <c r="L22" i="23"/>
  <c r="L21" i="23"/>
  <c r="L20" i="23"/>
  <c r="L18" i="23"/>
  <c r="L19" i="23"/>
  <c r="L17" i="23"/>
  <c r="L16" i="23"/>
  <c r="L15" i="23"/>
  <c r="L14" i="23"/>
  <c r="L13" i="23"/>
  <c r="L12" i="23"/>
  <c r="L11" i="23"/>
  <c r="L10" i="23"/>
  <c r="L9" i="23"/>
  <c r="L8" i="23"/>
  <c r="L7" i="23"/>
  <c r="L6" i="23" l="1"/>
  <c r="A7" i="23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U43" i="2" l="1"/>
  <c r="V43" i="2" s="1"/>
  <c r="U42" i="2"/>
  <c r="V42" i="2" s="1"/>
  <c r="U41" i="2"/>
  <c r="V41" i="2" s="1"/>
  <c r="U40" i="2"/>
  <c r="V40" i="2" s="1"/>
  <c r="U39" i="2"/>
  <c r="V39" i="2" s="1"/>
  <c r="U38" i="2"/>
  <c r="V38" i="2" s="1"/>
  <c r="U37" i="2"/>
  <c r="V37" i="2" s="1"/>
  <c r="U36" i="2"/>
  <c r="V36" i="2" s="1"/>
  <c r="R43" i="2"/>
  <c r="R42" i="2"/>
  <c r="R41" i="2"/>
  <c r="R40" i="2"/>
  <c r="R39" i="2"/>
  <c r="R38" i="2"/>
  <c r="R37" i="2"/>
  <c r="R36" i="2"/>
  <c r="A113" i="22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2" i="22" s="1"/>
  <c r="A133" i="22" s="1"/>
  <c r="A134" i="22" s="1"/>
  <c r="A135" i="22" s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A152" i="22" s="1"/>
  <c r="A153" i="22" s="1"/>
  <c r="A154" i="22" s="1"/>
  <c r="A155" i="22" s="1"/>
  <c r="A156" i="22" s="1"/>
  <c r="A157" i="22" s="1"/>
  <c r="A158" i="22" s="1"/>
  <c r="A159" i="22" s="1"/>
  <c r="A221" i="22"/>
  <c r="A222" i="22" s="1"/>
  <c r="A223" i="22" s="1"/>
  <c r="A224" i="22" s="1"/>
  <c r="A225" i="22" s="1"/>
  <c r="A226" i="22" s="1"/>
  <c r="A227" i="22" s="1"/>
  <c r="A228" i="22" s="1"/>
  <c r="A229" i="22" s="1"/>
  <c r="A230" i="22" s="1"/>
  <c r="A231" i="22" s="1"/>
  <c r="A232" i="22" s="1"/>
  <c r="A233" i="22" s="1"/>
  <c r="A234" i="22" s="1"/>
  <c r="A235" i="22" s="1"/>
  <c r="A236" i="22" s="1"/>
  <c r="A237" i="22" s="1"/>
  <c r="A238" i="22" s="1"/>
  <c r="A239" i="22" s="1"/>
  <c r="A240" i="22" s="1"/>
  <c r="A241" i="22" s="1"/>
  <c r="A242" i="22" s="1"/>
  <c r="A243" i="22" s="1"/>
  <c r="A244" i="22" s="1"/>
  <c r="A245" i="22" s="1"/>
  <c r="A246" i="22" s="1"/>
  <c r="A247" i="22" s="1"/>
  <c r="A248" i="22" s="1"/>
  <c r="A249" i="22" s="1"/>
  <c r="A250" i="22" s="1"/>
  <c r="A251" i="22" s="1"/>
  <c r="A252" i="22" s="1"/>
  <c r="A253" i="22" s="1"/>
  <c r="A254" i="22" s="1"/>
  <c r="A255" i="22" s="1"/>
  <c r="A256" i="22" s="1"/>
  <c r="A257" i="22" s="1"/>
  <c r="A258" i="22" s="1"/>
  <c r="A259" i="22" s="1"/>
  <c r="A260" i="22" s="1"/>
  <c r="A261" i="22" s="1"/>
  <c r="A262" i="22" s="1"/>
  <c r="A263" i="22" s="1"/>
  <c r="A264" i="22" s="1"/>
  <c r="A265" i="22" s="1"/>
  <c r="A266" i="22" s="1"/>
  <c r="A267" i="22" s="1"/>
  <c r="A59" i="22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67" i="22"/>
  <c r="A168" i="22" s="1"/>
  <c r="A169" i="22" s="1"/>
  <c r="A170" i="22" s="1"/>
  <c r="A171" i="22" s="1"/>
  <c r="A172" i="22" s="1"/>
  <c r="A173" i="22" s="1"/>
  <c r="A174" i="22" s="1"/>
  <c r="A175" i="22" s="1"/>
  <c r="A176" i="22" s="1"/>
  <c r="A177" i="22" s="1"/>
  <c r="A178" i="22" s="1"/>
  <c r="A179" i="22" s="1"/>
  <c r="A180" i="22" s="1"/>
  <c r="A181" i="22" s="1"/>
  <c r="A182" i="22" s="1"/>
  <c r="A183" i="22" s="1"/>
  <c r="A184" i="22" s="1"/>
  <c r="A185" i="22" s="1"/>
  <c r="A186" i="22" s="1"/>
  <c r="A187" i="22" s="1"/>
  <c r="A188" i="22" s="1"/>
  <c r="A189" i="22" s="1"/>
  <c r="A190" i="22" s="1"/>
  <c r="A191" i="22" s="1"/>
  <c r="A192" i="22" s="1"/>
  <c r="A193" i="22" s="1"/>
  <c r="A194" i="22" s="1"/>
  <c r="A195" i="22" s="1"/>
  <c r="A196" i="22" s="1"/>
  <c r="A197" i="22" s="1"/>
  <c r="A198" i="22" s="1"/>
  <c r="A199" i="22" s="1"/>
  <c r="A200" i="22" s="1"/>
  <c r="A201" i="22" s="1"/>
  <c r="A202" i="22" s="1"/>
  <c r="A203" i="22" s="1"/>
  <c r="A204" i="22" s="1"/>
  <c r="A205" i="22" s="1"/>
  <c r="A206" i="22" s="1"/>
  <c r="A207" i="22" s="1"/>
  <c r="A208" i="22" s="1"/>
  <c r="A209" i="22" s="1"/>
  <c r="A210" i="22" s="1"/>
  <c r="A211" i="22" s="1"/>
  <c r="A212" i="22" s="1"/>
  <c r="A213" i="22" s="1"/>
  <c r="A5" i="22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0" i="21"/>
  <c r="A51" i="21" s="1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3" i="18" l="1"/>
  <c r="G3" i="18" s="1"/>
  <c r="H3" i="18" s="1"/>
  <c r="I3" i="18" s="1"/>
  <c r="J3" i="18" s="1"/>
  <c r="K3" i="18" s="1"/>
  <c r="L3" i="18" s="1"/>
  <c r="M3" i="18" s="1"/>
  <c r="N3" i="18" s="1"/>
  <c r="O3" i="18" s="1"/>
  <c r="P3" i="18" s="1"/>
  <c r="Q3" i="18" s="1"/>
  <c r="R3" i="18" s="1"/>
  <c r="S3" i="18" s="1"/>
  <c r="T3" i="18" s="1"/>
  <c r="U3" i="18" s="1"/>
  <c r="V3" i="18" s="1"/>
  <c r="W3" i="18" s="1"/>
  <c r="X3" i="18" s="1"/>
  <c r="Y3" i="18" s="1"/>
  <c r="Z3" i="18" s="1"/>
  <c r="AA3" i="18" s="1"/>
  <c r="AB3" i="18" s="1"/>
  <c r="AC3" i="18" s="1"/>
  <c r="AD3" i="18" s="1"/>
  <c r="AE3" i="18" s="1"/>
  <c r="AF3" i="18" s="1"/>
  <c r="AG3" i="18" s="1"/>
  <c r="AH3" i="18" s="1"/>
  <c r="P3" i="17" l="1"/>
  <c r="W3" i="17"/>
  <c r="W6" i="17"/>
  <c r="W10" i="17"/>
  <c r="W14" i="17"/>
  <c r="W18" i="17"/>
  <c r="W22" i="17"/>
  <c r="W26" i="17"/>
  <c r="W30" i="17"/>
  <c r="W34" i="17"/>
  <c r="W38" i="17"/>
  <c r="W42" i="17"/>
  <c r="W46" i="17"/>
  <c r="W50" i="17"/>
  <c r="V50" i="17"/>
  <c r="V49" i="17"/>
  <c r="V48" i="17"/>
  <c r="V47" i="17"/>
  <c r="V46" i="17"/>
  <c r="V45" i="17"/>
  <c r="V44" i="17"/>
  <c r="V43" i="17"/>
  <c r="V42" i="17"/>
  <c r="V41" i="17"/>
  <c r="V40" i="17"/>
  <c r="V39" i="17"/>
  <c r="V38" i="17"/>
  <c r="V37" i="17"/>
  <c r="V36" i="17"/>
  <c r="V35" i="17"/>
  <c r="V34" i="17"/>
  <c r="V33" i="17"/>
  <c r="V32" i="17"/>
  <c r="V31" i="17"/>
  <c r="V30" i="17"/>
  <c r="V29" i="17"/>
  <c r="V28" i="17"/>
  <c r="V27" i="17"/>
  <c r="V26" i="17"/>
  <c r="V25" i="17"/>
  <c r="V24" i="17"/>
  <c r="V23" i="17"/>
  <c r="V22" i="17"/>
  <c r="V21" i="17"/>
  <c r="V20" i="17"/>
  <c r="V19" i="17"/>
  <c r="V18" i="17"/>
  <c r="V17" i="17"/>
  <c r="V16" i="17"/>
  <c r="V15" i="17"/>
  <c r="V14" i="17"/>
  <c r="V13" i="17"/>
  <c r="V12" i="17"/>
  <c r="V11" i="17"/>
  <c r="V10" i="17"/>
  <c r="V9" i="17"/>
  <c r="V8" i="17"/>
  <c r="V7" i="17"/>
  <c r="V6" i="17"/>
  <c r="V5" i="17"/>
  <c r="V4" i="17"/>
  <c r="V3" i="17"/>
  <c r="T50" i="17"/>
  <c r="T49" i="17"/>
  <c r="T48" i="17"/>
  <c r="T47" i="17"/>
  <c r="T46" i="17"/>
  <c r="T45" i="17"/>
  <c r="T44" i="17"/>
  <c r="T43" i="17"/>
  <c r="T42" i="17"/>
  <c r="T41" i="17"/>
  <c r="T40" i="17"/>
  <c r="T39" i="17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4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11" i="17"/>
  <c r="T10" i="17"/>
  <c r="T9" i="17"/>
  <c r="T8" i="17"/>
  <c r="T7" i="17"/>
  <c r="T6" i="17"/>
  <c r="T5" i="17"/>
  <c r="T4" i="17"/>
  <c r="T3" i="17"/>
  <c r="R50" i="17"/>
  <c r="R49" i="17"/>
  <c r="R48" i="17"/>
  <c r="R47" i="17"/>
  <c r="R46" i="17"/>
  <c r="R45" i="17"/>
  <c r="R44" i="17"/>
  <c r="R43" i="17"/>
  <c r="R42" i="17"/>
  <c r="R41" i="17"/>
  <c r="R40" i="17"/>
  <c r="R39" i="17"/>
  <c r="R38" i="17"/>
  <c r="R37" i="17"/>
  <c r="R36" i="17"/>
  <c r="R35" i="17"/>
  <c r="R34" i="17"/>
  <c r="R33" i="17"/>
  <c r="R32" i="17"/>
  <c r="R31" i="17"/>
  <c r="R30" i="17"/>
  <c r="R29" i="17"/>
  <c r="R28" i="17"/>
  <c r="R27" i="17"/>
  <c r="R26" i="17"/>
  <c r="R25" i="17"/>
  <c r="R24" i="17"/>
  <c r="R23" i="17"/>
  <c r="R22" i="17"/>
  <c r="R21" i="17"/>
  <c r="R20" i="17"/>
  <c r="R19" i="17"/>
  <c r="R18" i="17"/>
  <c r="R17" i="17"/>
  <c r="R8" i="17"/>
  <c r="R7" i="17"/>
  <c r="R6" i="17"/>
  <c r="R5" i="17"/>
  <c r="R4" i="17"/>
  <c r="R3" i="17"/>
  <c r="P50" i="17"/>
  <c r="P49" i="17"/>
  <c r="P48" i="17"/>
  <c r="P47" i="17"/>
  <c r="P46" i="17"/>
  <c r="P45" i="17"/>
  <c r="P44" i="17"/>
  <c r="P43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P6" i="17"/>
  <c r="P5" i="17"/>
  <c r="P4" i="17"/>
  <c r="N50" i="17"/>
  <c r="N49" i="17"/>
  <c r="N48" i="17"/>
  <c r="N47" i="17"/>
  <c r="N46" i="17"/>
  <c r="N45" i="17"/>
  <c r="N44" i="17"/>
  <c r="N43" i="17"/>
  <c r="N42" i="17"/>
  <c r="N41" i="17"/>
  <c r="N40" i="17"/>
  <c r="N39" i="17"/>
  <c r="N38" i="17"/>
  <c r="N37" i="17"/>
  <c r="N36" i="17"/>
  <c r="N35" i="17"/>
  <c r="N34" i="17"/>
  <c r="N33" i="17"/>
  <c r="N32" i="17"/>
  <c r="N31" i="17"/>
  <c r="N30" i="17"/>
  <c r="N29" i="17"/>
  <c r="N28" i="17"/>
  <c r="N27" i="17"/>
  <c r="N26" i="17"/>
  <c r="N25" i="17"/>
  <c r="N24" i="17"/>
  <c r="N23" i="17"/>
  <c r="N22" i="17"/>
  <c r="N21" i="17"/>
  <c r="N20" i="17"/>
  <c r="N19" i="17"/>
  <c r="N18" i="17"/>
  <c r="N17" i="17"/>
  <c r="N16" i="17"/>
  <c r="N15" i="17"/>
  <c r="N14" i="17"/>
  <c r="N13" i="17"/>
  <c r="N12" i="17"/>
  <c r="N11" i="17"/>
  <c r="N10" i="17"/>
  <c r="N9" i="17"/>
  <c r="N8" i="17"/>
  <c r="N7" i="17"/>
  <c r="N6" i="17"/>
  <c r="N5" i="17"/>
  <c r="N4" i="17"/>
  <c r="N3" i="17"/>
  <c r="L50" i="17"/>
  <c r="L49" i="17"/>
  <c r="L48" i="17"/>
  <c r="L47" i="17"/>
  <c r="L46" i="17"/>
  <c r="L45" i="17"/>
  <c r="L44" i="17"/>
  <c r="L43" i="17"/>
  <c r="L42" i="17"/>
  <c r="L41" i="17"/>
  <c r="L40" i="17"/>
  <c r="L39" i="17"/>
  <c r="L38" i="17"/>
  <c r="L37" i="17"/>
  <c r="L36" i="17"/>
  <c r="L35" i="17"/>
  <c r="L34" i="17"/>
  <c r="L33" i="17"/>
  <c r="L32" i="17"/>
  <c r="L31" i="17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L3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1" i="17"/>
  <c r="H16" i="17"/>
  <c r="H15" i="17"/>
  <c r="H14" i="17"/>
  <c r="H13" i="17"/>
  <c r="H12" i="17"/>
  <c r="H10" i="17"/>
  <c r="H9" i="17"/>
  <c r="H8" i="17"/>
  <c r="H7" i="17"/>
  <c r="H6" i="17"/>
  <c r="H5" i="17"/>
  <c r="H4" i="17"/>
  <c r="H3" i="17"/>
  <c r="W49" i="17" l="1"/>
  <c r="W45" i="17"/>
  <c r="W41" i="17"/>
  <c r="W37" i="17"/>
  <c r="W33" i="17"/>
  <c r="W29" i="17"/>
  <c r="W25" i="17"/>
  <c r="W21" i="17"/>
  <c r="W17" i="17"/>
  <c r="W13" i="17"/>
  <c r="W9" i="17"/>
  <c r="W5" i="17"/>
  <c r="W48" i="17"/>
  <c r="W44" i="17"/>
  <c r="W40" i="17"/>
  <c r="W36" i="17"/>
  <c r="W32" i="17"/>
  <c r="W28" i="17"/>
  <c r="W24" i="17"/>
  <c r="W20" i="17"/>
  <c r="W16" i="17"/>
  <c r="W12" i="17"/>
  <c r="W8" i="17"/>
  <c r="W4" i="17"/>
  <c r="W47" i="17"/>
  <c r="W43" i="17"/>
  <c r="W39" i="17"/>
  <c r="W35" i="17"/>
  <c r="W31" i="17"/>
  <c r="W27" i="17"/>
  <c r="W23" i="17"/>
  <c r="W19" i="17"/>
  <c r="W15" i="17"/>
  <c r="W11" i="17"/>
  <c r="W7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A4" i="17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E3" i="17"/>
  <c r="E4" i="15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E5" i="15"/>
  <c r="F5" i="15"/>
  <c r="E6" i="15"/>
  <c r="E7" i="15"/>
  <c r="E8" i="15"/>
  <c r="E51" i="15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F6" i="15" l="1"/>
  <c r="F7" i="15" s="1"/>
  <c r="F8" i="15" s="1"/>
  <c r="F9" i="15" s="1"/>
  <c r="F10" i="15" s="1"/>
  <c r="F11" i="15" s="1"/>
  <c r="F12" i="15" s="1"/>
  <c r="F13" i="15" s="1"/>
  <c r="F14" i="15" s="1"/>
  <c r="F15" i="15" s="1"/>
  <c r="F16" i="15" s="1"/>
  <c r="F17" i="15" s="1"/>
  <c r="F18" i="15" s="1"/>
  <c r="F19" i="15" s="1"/>
  <c r="F20" i="15" s="1"/>
  <c r="F21" i="15" s="1"/>
  <c r="F22" i="15" s="1"/>
  <c r="F23" i="15" s="1"/>
  <c r="F24" i="15" s="1"/>
  <c r="F25" i="15" s="1"/>
  <c r="F26" i="15" s="1"/>
  <c r="F27" i="15" s="1"/>
  <c r="F28" i="15" s="1"/>
  <c r="F29" i="15" s="1"/>
  <c r="F30" i="15" s="1"/>
  <c r="F31" i="15" s="1"/>
  <c r="F32" i="15" s="1"/>
  <c r="F33" i="15" s="1"/>
  <c r="F34" i="15" s="1"/>
  <c r="F35" i="15" s="1"/>
  <c r="F36" i="15" s="1"/>
  <c r="F37" i="15" s="1"/>
  <c r="F38" i="15" s="1"/>
  <c r="F39" i="15" s="1"/>
  <c r="F40" i="15" s="1"/>
  <c r="F41" i="15" s="1"/>
  <c r="F42" i="15" s="1"/>
  <c r="F43" i="15" s="1"/>
  <c r="F44" i="15" s="1"/>
  <c r="F45" i="15" s="1"/>
  <c r="F46" i="15" s="1"/>
  <c r="F47" i="15" s="1"/>
  <c r="F48" i="15" s="1"/>
  <c r="F49" i="15" s="1"/>
  <c r="F50" i="15" s="1"/>
  <c r="F51" i="15" s="1"/>
  <c r="F42" i="17"/>
  <c r="F29" i="17"/>
  <c r="F50" i="17"/>
  <c r="F16" i="17"/>
  <c r="F22" i="17"/>
  <c r="F8" i="17"/>
  <c r="F34" i="17"/>
  <c r="R11" i="17"/>
  <c r="R15" i="17"/>
  <c r="R9" i="17"/>
  <c r="R13" i="17"/>
  <c r="R10" i="17"/>
  <c r="R12" i="17"/>
  <c r="R14" i="17"/>
  <c r="R16" i="17"/>
  <c r="F52" i="15" l="1"/>
  <c r="F53" i="15" s="1"/>
  <c r="F54" i="15" s="1"/>
  <c r="F55" i="15" s="1"/>
  <c r="F56" i="15" s="1"/>
  <c r="F57" i="15" s="1"/>
  <c r="F58" i="15" s="1"/>
  <c r="F59" i="15" s="1"/>
  <c r="F60" i="15" s="1"/>
  <c r="F61" i="15" s="1"/>
  <c r="F62" i="15" s="1"/>
  <c r="F63" i="15" s="1"/>
  <c r="F64" i="15" s="1"/>
  <c r="F65" i="15" s="1"/>
  <c r="F66" i="15" s="1"/>
  <c r="F67" i="15" s="1"/>
  <c r="F68" i="15" s="1"/>
  <c r="F69" i="15" s="1"/>
  <c r="F70" i="15" s="1"/>
  <c r="F71" i="15" s="1"/>
  <c r="F72" i="15" s="1"/>
  <c r="F73" i="15" s="1"/>
  <c r="F74" i="15" s="1"/>
  <c r="F75" i="15" s="1"/>
  <c r="F76" i="15" s="1"/>
  <c r="F77" i="15" s="1"/>
  <c r="F78" i="15" s="1"/>
  <c r="F79" i="15" s="1"/>
  <c r="F80" i="15" s="1"/>
  <c r="F81" i="15" s="1"/>
  <c r="F82" i="15" s="1"/>
  <c r="F83" i="15" s="1"/>
  <c r="F84" i="15" s="1"/>
  <c r="F85" i="15" s="1"/>
  <c r="F86" i="15" s="1"/>
  <c r="F87" i="15" s="1"/>
  <c r="F88" i="15" s="1"/>
  <c r="F89" i="15" s="1"/>
  <c r="F90" i="15" s="1"/>
  <c r="F91" i="15" s="1"/>
  <c r="F4" i="8" l="1"/>
  <c r="AD5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AD48" i="14"/>
  <c r="AD49" i="14"/>
  <c r="AD50" i="14"/>
  <c r="AD51" i="14"/>
  <c r="AA5" i="14"/>
  <c r="AA6" i="14"/>
  <c r="AA7" i="14"/>
  <c r="AA8" i="14"/>
  <c r="AA9" i="14"/>
  <c r="AA10" i="14"/>
  <c r="AA11" i="14"/>
  <c r="AA12" i="14"/>
  <c r="AA13" i="14"/>
  <c r="AA14" i="14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AA27" i="14"/>
  <c r="AA28" i="14"/>
  <c r="AA29" i="14"/>
  <c r="AA30" i="14"/>
  <c r="AA31" i="14"/>
  <c r="AA32" i="14"/>
  <c r="AA33" i="14"/>
  <c r="AA34" i="14"/>
  <c r="AA35" i="14"/>
  <c r="AA36" i="14"/>
  <c r="AA37" i="14"/>
  <c r="AA38" i="14"/>
  <c r="AA39" i="14"/>
  <c r="AA40" i="14"/>
  <c r="AA41" i="14"/>
  <c r="AA42" i="14"/>
  <c r="AA43" i="14"/>
  <c r="AA44" i="14"/>
  <c r="AA45" i="14"/>
  <c r="AA46" i="14"/>
  <c r="AA47" i="14"/>
  <c r="AA48" i="14"/>
  <c r="AA49" i="14"/>
  <c r="AA50" i="14"/>
  <c r="AA51" i="14"/>
  <c r="AE6" i="14" l="1"/>
  <c r="AE7" i="14"/>
  <c r="AF7" i="14" s="1"/>
  <c r="AE11" i="14"/>
  <c r="AF11" i="14" s="1"/>
  <c r="AE14" i="14"/>
  <c r="AE15" i="14"/>
  <c r="AE19" i="14"/>
  <c r="AE23" i="14"/>
  <c r="AF23" i="14" s="1"/>
  <c r="AE26" i="14"/>
  <c r="AE30" i="14"/>
  <c r="AE31" i="14"/>
  <c r="AE34" i="14"/>
  <c r="AE38" i="14"/>
  <c r="AE39" i="14"/>
  <c r="AE42" i="14"/>
  <c r="AF42" i="14" s="1"/>
  <c r="AE43" i="14"/>
  <c r="AF43" i="14" s="1"/>
  <c r="AE51" i="14"/>
  <c r="AD4" i="14"/>
  <c r="AE4" i="14" s="1"/>
  <c r="AB7" i="14"/>
  <c r="AC7" i="14" s="1"/>
  <c r="AB10" i="14"/>
  <c r="AC10" i="14" s="1"/>
  <c r="AB11" i="14"/>
  <c r="AB15" i="14"/>
  <c r="AB19" i="14"/>
  <c r="AB22" i="14"/>
  <c r="AC22" i="14" s="1"/>
  <c r="AB23" i="14"/>
  <c r="AB38" i="14"/>
  <c r="AB39" i="14"/>
  <c r="AC39" i="14" s="1"/>
  <c r="AB43" i="14"/>
  <c r="AC43" i="14" s="1"/>
  <c r="AB46" i="14"/>
  <c r="AB47" i="14"/>
  <c r="AC47" i="14" s="1"/>
  <c r="AB50" i="14"/>
  <c r="AB51" i="14"/>
  <c r="AC51" i="14" s="1"/>
  <c r="AA4" i="14"/>
  <c r="AB4" i="14" s="1"/>
  <c r="X5" i="14"/>
  <c r="Y5" i="14" s="1"/>
  <c r="X6" i="14"/>
  <c r="Y6" i="14" s="1"/>
  <c r="Z6" i="14" s="1"/>
  <c r="X7" i="14"/>
  <c r="Y7" i="14" s="1"/>
  <c r="Z7" i="14" s="1"/>
  <c r="X8" i="14"/>
  <c r="Y8" i="14" s="1"/>
  <c r="X9" i="14"/>
  <c r="Y9" i="14" s="1"/>
  <c r="X10" i="14"/>
  <c r="Y10" i="14" s="1"/>
  <c r="X11" i="14"/>
  <c r="Y11" i="14" s="1"/>
  <c r="Z11" i="14" s="1"/>
  <c r="X12" i="14"/>
  <c r="Y12" i="14" s="1"/>
  <c r="X13" i="14"/>
  <c r="Y13" i="14" s="1"/>
  <c r="X14" i="14"/>
  <c r="Y14" i="14" s="1"/>
  <c r="Z14" i="14" s="1"/>
  <c r="X15" i="14"/>
  <c r="Y15" i="14" s="1"/>
  <c r="Z15" i="14" s="1"/>
  <c r="X16" i="14"/>
  <c r="Y16" i="14" s="1"/>
  <c r="Z16" i="14" s="1"/>
  <c r="X17" i="14"/>
  <c r="Y17" i="14" s="1"/>
  <c r="Z17" i="14" s="1"/>
  <c r="X18" i="14"/>
  <c r="Y18" i="14" s="1"/>
  <c r="X19" i="14"/>
  <c r="Y19" i="14" s="1"/>
  <c r="Z19" i="14" s="1"/>
  <c r="X20" i="14"/>
  <c r="Y20" i="14" s="1"/>
  <c r="Z20" i="14" s="1"/>
  <c r="X21" i="14"/>
  <c r="Y21" i="14" s="1"/>
  <c r="X22" i="14"/>
  <c r="Y22" i="14" s="1"/>
  <c r="Z22" i="14" s="1"/>
  <c r="X23" i="14"/>
  <c r="Y23" i="14" s="1"/>
  <c r="Z23" i="14" s="1"/>
  <c r="X24" i="14"/>
  <c r="Y24" i="14" s="1"/>
  <c r="X25" i="14"/>
  <c r="Y25" i="14" s="1"/>
  <c r="X26" i="14"/>
  <c r="Y26" i="14" s="1"/>
  <c r="X27" i="14"/>
  <c r="Y27" i="14" s="1"/>
  <c r="X28" i="14"/>
  <c r="Y28" i="14" s="1"/>
  <c r="X29" i="14"/>
  <c r="Y29" i="14" s="1"/>
  <c r="X30" i="14"/>
  <c r="Y30" i="14" s="1"/>
  <c r="Z30" i="14" s="1"/>
  <c r="X31" i="14"/>
  <c r="Y31" i="14" s="1"/>
  <c r="Z31" i="14" s="1"/>
  <c r="X32" i="14"/>
  <c r="Y32" i="14" s="1"/>
  <c r="Z32" i="14" s="1"/>
  <c r="X33" i="14"/>
  <c r="Y33" i="14" s="1"/>
  <c r="X34" i="14"/>
  <c r="Y34" i="14" s="1"/>
  <c r="X35" i="14"/>
  <c r="Y35" i="14" s="1"/>
  <c r="Z35" i="14" s="1"/>
  <c r="X36" i="14"/>
  <c r="Y36" i="14" s="1"/>
  <c r="X37" i="14"/>
  <c r="Y37" i="14" s="1"/>
  <c r="Z37" i="14" s="1"/>
  <c r="X38" i="14"/>
  <c r="Y38" i="14" s="1"/>
  <c r="Z38" i="14" s="1"/>
  <c r="X39" i="14"/>
  <c r="Y39" i="14" s="1"/>
  <c r="Z39" i="14" s="1"/>
  <c r="X40" i="14"/>
  <c r="Y40" i="14" s="1"/>
  <c r="X41" i="14"/>
  <c r="Y41" i="14" s="1"/>
  <c r="X42" i="14"/>
  <c r="Y42" i="14" s="1"/>
  <c r="Z42" i="14" s="1"/>
  <c r="X43" i="14"/>
  <c r="Y43" i="14" s="1"/>
  <c r="Z43" i="14" s="1"/>
  <c r="X44" i="14"/>
  <c r="Y44" i="14" s="1"/>
  <c r="X45" i="14"/>
  <c r="Y45" i="14" s="1"/>
  <c r="X46" i="14"/>
  <c r="Y46" i="14" s="1"/>
  <c r="X47" i="14"/>
  <c r="Y47" i="14" s="1"/>
  <c r="Z47" i="14" s="1"/>
  <c r="X48" i="14"/>
  <c r="Y48" i="14" s="1"/>
  <c r="X49" i="14"/>
  <c r="Y49" i="14" s="1"/>
  <c r="X50" i="14"/>
  <c r="Y50" i="14" s="1"/>
  <c r="Z50" i="14" s="1"/>
  <c r="X51" i="14"/>
  <c r="Y51" i="14" s="1"/>
  <c r="Z51" i="14" s="1"/>
  <c r="X4" i="14"/>
  <c r="Y4" i="14" s="1"/>
  <c r="U5" i="14"/>
  <c r="V5" i="14" s="1"/>
  <c r="W5" i="14" s="1"/>
  <c r="U6" i="14"/>
  <c r="V6" i="14" s="1"/>
  <c r="W6" i="14" s="1"/>
  <c r="U7" i="14"/>
  <c r="V7" i="14" s="1"/>
  <c r="W7" i="14" s="1"/>
  <c r="U8" i="14"/>
  <c r="V8" i="14" s="1"/>
  <c r="W8" i="14" s="1"/>
  <c r="U9" i="14"/>
  <c r="V9" i="14" s="1"/>
  <c r="U10" i="14"/>
  <c r="V10" i="14" s="1"/>
  <c r="U11" i="14"/>
  <c r="V11" i="14" s="1"/>
  <c r="W11" i="14" s="1"/>
  <c r="U12" i="14"/>
  <c r="V12" i="14" s="1"/>
  <c r="W12" i="14" s="1"/>
  <c r="U13" i="14"/>
  <c r="V13" i="14" s="1"/>
  <c r="U14" i="14"/>
  <c r="V14" i="14" s="1"/>
  <c r="W14" i="14" s="1"/>
  <c r="U15" i="14"/>
  <c r="V15" i="14" s="1"/>
  <c r="W15" i="14" s="1"/>
  <c r="U16" i="14"/>
  <c r="V16" i="14" s="1"/>
  <c r="W16" i="14" s="1"/>
  <c r="U17" i="14"/>
  <c r="V17" i="14" s="1"/>
  <c r="W17" i="14" s="1"/>
  <c r="U18" i="14"/>
  <c r="V18" i="14" s="1"/>
  <c r="U19" i="14"/>
  <c r="V19" i="14" s="1"/>
  <c r="W19" i="14" s="1"/>
  <c r="U20" i="14"/>
  <c r="V20" i="14" s="1"/>
  <c r="W20" i="14" s="1"/>
  <c r="U21" i="14"/>
  <c r="V21" i="14" s="1"/>
  <c r="U22" i="14"/>
  <c r="V22" i="14" s="1"/>
  <c r="W22" i="14" s="1"/>
  <c r="U23" i="14"/>
  <c r="V23" i="14" s="1"/>
  <c r="W23" i="14" s="1"/>
  <c r="U24" i="14"/>
  <c r="V24" i="14" s="1"/>
  <c r="W24" i="14" s="1"/>
  <c r="U25" i="14"/>
  <c r="V25" i="14" s="1"/>
  <c r="W25" i="14" s="1"/>
  <c r="U26" i="14"/>
  <c r="V26" i="14" s="1"/>
  <c r="U27" i="14"/>
  <c r="V27" i="14" s="1"/>
  <c r="U28" i="14"/>
  <c r="V28" i="14" s="1"/>
  <c r="U29" i="14"/>
  <c r="V29" i="14" s="1"/>
  <c r="U30" i="14"/>
  <c r="V30" i="14" s="1"/>
  <c r="U31" i="14"/>
  <c r="V31" i="14" s="1"/>
  <c r="U32" i="14"/>
  <c r="V32" i="14" s="1"/>
  <c r="U33" i="14"/>
  <c r="V33" i="14" s="1"/>
  <c r="U34" i="14"/>
  <c r="V34" i="14" s="1"/>
  <c r="U35" i="14"/>
  <c r="V35" i="14" s="1"/>
  <c r="W35" i="14" s="1"/>
  <c r="U36" i="14"/>
  <c r="U37" i="14"/>
  <c r="U38" i="14"/>
  <c r="U39" i="14"/>
  <c r="U40" i="14"/>
  <c r="U41" i="14"/>
  <c r="U42" i="14"/>
  <c r="U43" i="14"/>
  <c r="U44" i="14"/>
  <c r="V44" i="14" s="1"/>
  <c r="U45" i="14"/>
  <c r="V45" i="14" s="1"/>
  <c r="W45" i="14" s="1"/>
  <c r="U46" i="14"/>
  <c r="V46" i="14" s="1"/>
  <c r="W46" i="14" s="1"/>
  <c r="U47" i="14"/>
  <c r="V47" i="14" s="1"/>
  <c r="W47" i="14" s="1"/>
  <c r="U48" i="14"/>
  <c r="V48" i="14" s="1"/>
  <c r="W48" i="14" s="1"/>
  <c r="U49" i="14"/>
  <c r="V49" i="14" s="1"/>
  <c r="U50" i="14"/>
  <c r="V50" i="14" s="1"/>
  <c r="W50" i="14" s="1"/>
  <c r="U51" i="14"/>
  <c r="V51" i="14" s="1"/>
  <c r="W51" i="14" s="1"/>
  <c r="U4" i="14"/>
  <c r="V4" i="14" s="1"/>
  <c r="R5" i="14"/>
  <c r="S5" i="14" s="1"/>
  <c r="R6" i="14"/>
  <c r="S6" i="14" s="1"/>
  <c r="T6" i="14" s="1"/>
  <c r="R7" i="14"/>
  <c r="S7" i="14" s="1"/>
  <c r="T7" i="14" s="1"/>
  <c r="R8" i="14"/>
  <c r="S8" i="14" s="1"/>
  <c r="R9" i="14"/>
  <c r="S9" i="14" s="1"/>
  <c r="R10" i="14"/>
  <c r="S10" i="14" s="1"/>
  <c r="R11" i="14"/>
  <c r="S11" i="14" s="1"/>
  <c r="T11" i="14" s="1"/>
  <c r="R12" i="14"/>
  <c r="S12" i="14" s="1"/>
  <c r="R13" i="14"/>
  <c r="S13" i="14" s="1"/>
  <c r="R14" i="14"/>
  <c r="S14" i="14" s="1"/>
  <c r="R15" i="14"/>
  <c r="S15" i="14" s="1"/>
  <c r="T15" i="14" s="1"/>
  <c r="R16" i="14"/>
  <c r="S16" i="14" s="1"/>
  <c r="R17" i="14"/>
  <c r="S17" i="14" s="1"/>
  <c r="T17" i="14" s="1"/>
  <c r="R18" i="14"/>
  <c r="S18" i="14" s="1"/>
  <c r="R19" i="14"/>
  <c r="S19" i="14" s="1"/>
  <c r="T19" i="14" s="1"/>
  <c r="R20" i="14"/>
  <c r="S20" i="14" s="1"/>
  <c r="R21" i="14"/>
  <c r="S21" i="14" s="1"/>
  <c r="R22" i="14"/>
  <c r="S22" i="14" s="1"/>
  <c r="T22" i="14" s="1"/>
  <c r="R23" i="14"/>
  <c r="S23" i="14" s="1"/>
  <c r="T23" i="14" s="1"/>
  <c r="R24" i="14"/>
  <c r="S24" i="14" s="1"/>
  <c r="R25" i="14"/>
  <c r="S25" i="14" s="1"/>
  <c r="T25" i="14" s="1"/>
  <c r="R26" i="14"/>
  <c r="S26" i="14" s="1"/>
  <c r="R27" i="14"/>
  <c r="S27" i="14" s="1"/>
  <c r="R28" i="14"/>
  <c r="S28" i="14" s="1"/>
  <c r="R29" i="14"/>
  <c r="S29" i="14" s="1"/>
  <c r="R30" i="14"/>
  <c r="S30" i="14" s="1"/>
  <c r="T30" i="14" s="1"/>
  <c r="R31" i="14"/>
  <c r="S31" i="14" s="1"/>
  <c r="T31" i="14" s="1"/>
  <c r="R32" i="14"/>
  <c r="S32" i="14" s="1"/>
  <c r="R33" i="14"/>
  <c r="S33" i="14" s="1"/>
  <c r="T33" i="14" s="1"/>
  <c r="R34" i="14"/>
  <c r="S34" i="14" s="1"/>
  <c r="R35" i="14"/>
  <c r="S35" i="14" s="1"/>
  <c r="T35" i="14" s="1"/>
  <c r="R36" i="14"/>
  <c r="S36" i="14" s="1"/>
  <c r="R37" i="14"/>
  <c r="S37" i="14" s="1"/>
  <c r="T37" i="14" s="1"/>
  <c r="R38" i="14"/>
  <c r="S38" i="14" s="1"/>
  <c r="T38" i="14" s="1"/>
  <c r="R39" i="14"/>
  <c r="S39" i="14" s="1"/>
  <c r="T39" i="14" s="1"/>
  <c r="R40" i="14"/>
  <c r="S40" i="14" s="1"/>
  <c r="T40" i="14" s="1"/>
  <c r="R41" i="14"/>
  <c r="S41" i="14" s="1"/>
  <c r="R42" i="14"/>
  <c r="S42" i="14" s="1"/>
  <c r="T42" i="14" s="1"/>
  <c r="R43" i="14"/>
  <c r="S43" i="14" s="1"/>
  <c r="T43" i="14" s="1"/>
  <c r="R44" i="14"/>
  <c r="S44" i="14" s="1"/>
  <c r="R45" i="14"/>
  <c r="S45" i="14" s="1"/>
  <c r="R46" i="14"/>
  <c r="S46" i="14" s="1"/>
  <c r="R47" i="14"/>
  <c r="S47" i="14" s="1"/>
  <c r="T47" i="14" s="1"/>
  <c r="R48" i="14"/>
  <c r="S48" i="14" s="1"/>
  <c r="R49" i="14"/>
  <c r="S49" i="14" s="1"/>
  <c r="T49" i="14" s="1"/>
  <c r="R50" i="14"/>
  <c r="S50" i="14" s="1"/>
  <c r="T50" i="14" s="1"/>
  <c r="R51" i="14"/>
  <c r="S51" i="14" s="1"/>
  <c r="T51" i="14" s="1"/>
  <c r="R4" i="14"/>
  <c r="S4" i="14" s="1"/>
  <c r="M5" i="14"/>
  <c r="M6" i="14"/>
  <c r="M7" i="14"/>
  <c r="P7" i="14" s="1"/>
  <c r="M8" i="14"/>
  <c r="M9" i="14"/>
  <c r="M10" i="14"/>
  <c r="P10" i="14" s="1"/>
  <c r="M11" i="14"/>
  <c r="M12" i="14"/>
  <c r="M13" i="14"/>
  <c r="P13" i="14" s="1"/>
  <c r="M14" i="14"/>
  <c r="N14" i="14" s="1"/>
  <c r="O14" i="14" s="1"/>
  <c r="M15" i="14"/>
  <c r="M16" i="14"/>
  <c r="M17" i="14"/>
  <c r="M18" i="14"/>
  <c r="N18" i="14" s="1"/>
  <c r="M19" i="14"/>
  <c r="N19" i="14" s="1"/>
  <c r="O19" i="14" s="1"/>
  <c r="M20" i="14"/>
  <c r="M21" i="14"/>
  <c r="M22" i="14"/>
  <c r="M23" i="14"/>
  <c r="Q23" i="14" s="1"/>
  <c r="M24" i="14"/>
  <c r="M25" i="14"/>
  <c r="M26" i="14"/>
  <c r="M27" i="14"/>
  <c r="M28" i="14"/>
  <c r="M29" i="14"/>
  <c r="M30" i="14"/>
  <c r="M31" i="14"/>
  <c r="N31" i="14" s="1"/>
  <c r="O31" i="14" s="1"/>
  <c r="M32" i="14"/>
  <c r="M33" i="14"/>
  <c r="M34" i="14"/>
  <c r="M35" i="14"/>
  <c r="N35" i="14" s="1"/>
  <c r="O35" i="14" s="1"/>
  <c r="M36" i="14"/>
  <c r="N36" i="14" s="1"/>
  <c r="M37" i="14"/>
  <c r="N37" i="14" s="1"/>
  <c r="O37" i="14" s="1"/>
  <c r="M38" i="14"/>
  <c r="M39" i="14"/>
  <c r="M40" i="14"/>
  <c r="M41" i="14"/>
  <c r="M42" i="14"/>
  <c r="M43" i="14"/>
  <c r="M44" i="14"/>
  <c r="Q44" i="14" s="1"/>
  <c r="M45" i="14"/>
  <c r="N45" i="14" s="1"/>
  <c r="O45" i="14" s="1"/>
  <c r="M46" i="14"/>
  <c r="M47" i="14"/>
  <c r="M48" i="14"/>
  <c r="M49" i="14"/>
  <c r="N49" i="14" s="1"/>
  <c r="M50" i="14"/>
  <c r="Q50" i="14" s="1"/>
  <c r="M51" i="14"/>
  <c r="N51" i="14" s="1"/>
  <c r="O51" i="14" s="1"/>
  <c r="M4" i="14"/>
  <c r="F5" i="14"/>
  <c r="F6" i="14"/>
  <c r="F7" i="14"/>
  <c r="F8" i="14"/>
  <c r="L8" i="14" s="1"/>
  <c r="F9" i="14"/>
  <c r="I9" i="14" s="1"/>
  <c r="F10" i="14"/>
  <c r="F11" i="14"/>
  <c r="F12" i="14"/>
  <c r="F13" i="14"/>
  <c r="F14" i="14"/>
  <c r="F15" i="14"/>
  <c r="F16" i="14"/>
  <c r="K16" i="14" s="1"/>
  <c r="F17" i="14"/>
  <c r="J17" i="14" s="1"/>
  <c r="F18" i="14"/>
  <c r="F19" i="14"/>
  <c r="F20" i="14"/>
  <c r="F21" i="14"/>
  <c r="F22" i="14"/>
  <c r="I22" i="14" s="1"/>
  <c r="F23" i="14"/>
  <c r="F24" i="14"/>
  <c r="F25" i="14"/>
  <c r="F26" i="14"/>
  <c r="I26" i="14" s="1"/>
  <c r="F27" i="14"/>
  <c r="F28" i="14"/>
  <c r="J28" i="14" s="1"/>
  <c r="F29" i="14"/>
  <c r="F30" i="14"/>
  <c r="F31" i="14"/>
  <c r="F32" i="14"/>
  <c r="K32" i="14" s="1"/>
  <c r="F33" i="14"/>
  <c r="F34" i="14"/>
  <c r="I34" i="14" s="1"/>
  <c r="F35" i="14"/>
  <c r="F36" i="14"/>
  <c r="F37" i="14"/>
  <c r="F38" i="14"/>
  <c r="G38" i="14" s="1"/>
  <c r="H38" i="14" s="1"/>
  <c r="F39" i="14"/>
  <c r="F40" i="14"/>
  <c r="F41" i="14"/>
  <c r="F42" i="14"/>
  <c r="F43" i="14"/>
  <c r="G43" i="14" s="1"/>
  <c r="H43" i="14" s="1"/>
  <c r="F44" i="14"/>
  <c r="F45" i="14"/>
  <c r="F46" i="14"/>
  <c r="K46" i="14" s="1"/>
  <c r="F47" i="14"/>
  <c r="I47" i="14" s="1"/>
  <c r="F48" i="14"/>
  <c r="F49" i="14"/>
  <c r="F50" i="14"/>
  <c r="F51" i="14"/>
  <c r="F4" i="14"/>
  <c r="E51" i="14"/>
  <c r="AE50" i="14"/>
  <c r="E50" i="14"/>
  <c r="AE49" i="14"/>
  <c r="AB49" i="14"/>
  <c r="E49" i="14"/>
  <c r="AE48" i="14"/>
  <c r="AB48" i="14"/>
  <c r="AC48" i="14" s="1"/>
  <c r="E48" i="14"/>
  <c r="AE47" i="14"/>
  <c r="AF47" i="14" s="1"/>
  <c r="E47" i="14"/>
  <c r="AE46" i="14"/>
  <c r="E46" i="14"/>
  <c r="AE45" i="14"/>
  <c r="AF45" i="14" s="1"/>
  <c r="AB45" i="14"/>
  <c r="K45" i="14"/>
  <c r="E45" i="14"/>
  <c r="AE44" i="14"/>
  <c r="AB44" i="14"/>
  <c r="AC44" i="14" s="1"/>
  <c r="I44" i="14"/>
  <c r="E44" i="14"/>
  <c r="E43" i="14"/>
  <c r="W43" i="14" s="1"/>
  <c r="AB42" i="14"/>
  <c r="E42" i="14"/>
  <c r="W42" i="14" s="1"/>
  <c r="AE41" i="14"/>
  <c r="AB41" i="14"/>
  <c r="AC41" i="14" s="1"/>
  <c r="E41" i="14"/>
  <c r="W41" i="14" s="1"/>
  <c r="AE40" i="14"/>
  <c r="AF40" i="14" s="1"/>
  <c r="AB40" i="14"/>
  <c r="W40" i="14"/>
  <c r="E40" i="14"/>
  <c r="E39" i="14"/>
  <c r="W39" i="14" s="1"/>
  <c r="E38" i="14"/>
  <c r="W38" i="14" s="1"/>
  <c r="AE37" i="14"/>
  <c r="AF37" i="14" s="1"/>
  <c r="AB37" i="14"/>
  <c r="W37" i="14"/>
  <c r="Q37" i="14"/>
  <c r="E37" i="14"/>
  <c r="AE36" i="14"/>
  <c r="AB36" i="14"/>
  <c r="E36" i="14"/>
  <c r="W36" i="14" s="1"/>
  <c r="AE35" i="14"/>
  <c r="AB35" i="14"/>
  <c r="AC35" i="14" s="1"/>
  <c r="E35" i="14"/>
  <c r="AB34" i="14"/>
  <c r="E34" i="14"/>
  <c r="AE33" i="14"/>
  <c r="AB33" i="14"/>
  <c r="E33" i="14"/>
  <c r="AE32" i="14"/>
  <c r="AF32" i="14" s="1"/>
  <c r="AB32" i="14"/>
  <c r="E32" i="14"/>
  <c r="AB31" i="14"/>
  <c r="E31" i="14"/>
  <c r="AB30" i="14"/>
  <c r="E30" i="14"/>
  <c r="AE29" i="14"/>
  <c r="AB29" i="14"/>
  <c r="E29" i="14"/>
  <c r="AE28" i="14"/>
  <c r="AB28" i="14"/>
  <c r="E28" i="14"/>
  <c r="AE27" i="14"/>
  <c r="AB27" i="14"/>
  <c r="E27" i="14"/>
  <c r="AB26" i="14"/>
  <c r="E26" i="14"/>
  <c r="AE25" i="14"/>
  <c r="AB25" i="14"/>
  <c r="E25" i="14"/>
  <c r="AE24" i="14"/>
  <c r="AB24" i="14"/>
  <c r="AC24" i="14" s="1"/>
  <c r="E24" i="14"/>
  <c r="E23" i="14"/>
  <c r="AE22" i="14"/>
  <c r="AF22" i="14" s="1"/>
  <c r="E22" i="14"/>
  <c r="AE21" i="14"/>
  <c r="AB21" i="14"/>
  <c r="E21" i="14"/>
  <c r="AE20" i="14"/>
  <c r="AB20" i="14"/>
  <c r="E20" i="14"/>
  <c r="E19" i="14"/>
  <c r="AE18" i="14"/>
  <c r="AB18" i="14"/>
  <c r="E18" i="14"/>
  <c r="AE17" i="14"/>
  <c r="AB17" i="14"/>
  <c r="AC17" i="14" s="1"/>
  <c r="I17" i="14"/>
  <c r="E17" i="14"/>
  <c r="AE16" i="14"/>
  <c r="AB16" i="14"/>
  <c r="AC16" i="14" s="1"/>
  <c r="E16" i="14"/>
  <c r="E15" i="14"/>
  <c r="AB14" i="14"/>
  <c r="E14" i="14"/>
  <c r="AE13" i="14"/>
  <c r="AB13" i="14"/>
  <c r="E13" i="14"/>
  <c r="AE12" i="14"/>
  <c r="AB12" i="14"/>
  <c r="AC12" i="14" s="1"/>
  <c r="E12" i="14"/>
  <c r="E11" i="14"/>
  <c r="AE10" i="14"/>
  <c r="E10" i="14"/>
  <c r="AE9" i="14"/>
  <c r="AB9" i="14"/>
  <c r="E9" i="14"/>
  <c r="AE8" i="14"/>
  <c r="AF8" i="14" s="1"/>
  <c r="AB8" i="14"/>
  <c r="E8" i="14"/>
  <c r="E7" i="14"/>
  <c r="AB6" i="14"/>
  <c r="E6" i="14"/>
  <c r="AE5" i="14"/>
  <c r="AF5" i="14" s="1"/>
  <c r="AB5" i="14"/>
  <c r="E5" i="14"/>
  <c r="A5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E4" i="14"/>
  <c r="AD5" i="13"/>
  <c r="AE5" i="13" s="1"/>
  <c r="AD6" i="13"/>
  <c r="AD7" i="13"/>
  <c r="AE7" i="13" s="1"/>
  <c r="AD8" i="13"/>
  <c r="AE8" i="13" s="1"/>
  <c r="AF8" i="13" s="1"/>
  <c r="AD9" i="13"/>
  <c r="AE9" i="13" s="1"/>
  <c r="AD10" i="13"/>
  <c r="AD11" i="13"/>
  <c r="AE11" i="13" s="1"/>
  <c r="AD12" i="13"/>
  <c r="AE12" i="13" s="1"/>
  <c r="AF12" i="13" s="1"/>
  <c r="AD13" i="13"/>
  <c r="AE13" i="13" s="1"/>
  <c r="AD14" i="13"/>
  <c r="AD15" i="13"/>
  <c r="AE15" i="13" s="1"/>
  <c r="AD16" i="13"/>
  <c r="AE16" i="13" s="1"/>
  <c r="AF16" i="13" s="1"/>
  <c r="AD17" i="13"/>
  <c r="AE17" i="13" s="1"/>
  <c r="AD18" i="13"/>
  <c r="AD19" i="13"/>
  <c r="AE19" i="13" s="1"/>
  <c r="AD20" i="13"/>
  <c r="AE20" i="13" s="1"/>
  <c r="AD21" i="13"/>
  <c r="AE21" i="13" s="1"/>
  <c r="AF21" i="13" s="1"/>
  <c r="AD22" i="13"/>
  <c r="AE22" i="13" s="1"/>
  <c r="AD23" i="13"/>
  <c r="AE23" i="13" s="1"/>
  <c r="AF23" i="13" s="1"/>
  <c r="AD24" i="13"/>
  <c r="AE24" i="13" s="1"/>
  <c r="AF24" i="13" s="1"/>
  <c r="AD25" i="13"/>
  <c r="AE25" i="13" s="1"/>
  <c r="AF25" i="13" s="1"/>
  <c r="AD26" i="13"/>
  <c r="AD27" i="13"/>
  <c r="AE27" i="13" s="1"/>
  <c r="AD28" i="13"/>
  <c r="AE28" i="13" s="1"/>
  <c r="AF28" i="13" s="1"/>
  <c r="AD29" i="13"/>
  <c r="AE29" i="13" s="1"/>
  <c r="AD30" i="13"/>
  <c r="AD31" i="13"/>
  <c r="AD32" i="13"/>
  <c r="AE32" i="13" s="1"/>
  <c r="AF32" i="13" s="1"/>
  <c r="AD33" i="13"/>
  <c r="AE33" i="13" s="1"/>
  <c r="AF33" i="13" s="1"/>
  <c r="AD34" i="13"/>
  <c r="AD35" i="13"/>
  <c r="AE35" i="13" s="1"/>
  <c r="AD36" i="13"/>
  <c r="AE36" i="13" s="1"/>
  <c r="AD37" i="13"/>
  <c r="AE37" i="13" s="1"/>
  <c r="AD38" i="13"/>
  <c r="AD39" i="13"/>
  <c r="AE39" i="13" s="1"/>
  <c r="AF39" i="13" s="1"/>
  <c r="AD40" i="13"/>
  <c r="AE40" i="13" s="1"/>
  <c r="AF40" i="13" s="1"/>
  <c r="AD41" i="13"/>
  <c r="AE41" i="13" s="1"/>
  <c r="AF41" i="13" s="1"/>
  <c r="AD42" i="13"/>
  <c r="AD43" i="13"/>
  <c r="AE43" i="13" s="1"/>
  <c r="AD44" i="13"/>
  <c r="AE44" i="13" s="1"/>
  <c r="AF44" i="13" s="1"/>
  <c r="AD45" i="13"/>
  <c r="AE45" i="13" s="1"/>
  <c r="AD46" i="13"/>
  <c r="AD47" i="13"/>
  <c r="AE47" i="13" s="1"/>
  <c r="AD48" i="13"/>
  <c r="AE48" i="13" s="1"/>
  <c r="AF48" i="13" s="1"/>
  <c r="AD49" i="13"/>
  <c r="AE49" i="13" s="1"/>
  <c r="AD50" i="13"/>
  <c r="AD51" i="13"/>
  <c r="AE51" i="13" s="1"/>
  <c r="AD4" i="13"/>
  <c r="AE4" i="13" s="1"/>
  <c r="AA5" i="13"/>
  <c r="AB5" i="13" s="1"/>
  <c r="AA6" i="13"/>
  <c r="AA7" i="13"/>
  <c r="AB7" i="13" s="1"/>
  <c r="AC7" i="13" s="1"/>
  <c r="AA8" i="13"/>
  <c r="AB8" i="13" s="1"/>
  <c r="AC8" i="13" s="1"/>
  <c r="AA9" i="13"/>
  <c r="AB9" i="13" s="1"/>
  <c r="AA10" i="13"/>
  <c r="AA11" i="13"/>
  <c r="AB11" i="13" s="1"/>
  <c r="AC11" i="13" s="1"/>
  <c r="AA12" i="13"/>
  <c r="AB12" i="13" s="1"/>
  <c r="AC12" i="13" s="1"/>
  <c r="AA13" i="13"/>
  <c r="AB13" i="13" s="1"/>
  <c r="AA14" i="13"/>
  <c r="AA15" i="13"/>
  <c r="AB15" i="13" s="1"/>
  <c r="AA16" i="13"/>
  <c r="AB16" i="13" s="1"/>
  <c r="AC16" i="13" s="1"/>
  <c r="AA17" i="13"/>
  <c r="AB17" i="13" s="1"/>
  <c r="AA18" i="13"/>
  <c r="AB18" i="13" s="1"/>
  <c r="AA19" i="13"/>
  <c r="AB19" i="13" s="1"/>
  <c r="AA20" i="13"/>
  <c r="AB20" i="13" s="1"/>
  <c r="AC20" i="13" s="1"/>
  <c r="AA21" i="13"/>
  <c r="AB21" i="13" s="1"/>
  <c r="AC21" i="13" s="1"/>
  <c r="AA22" i="13"/>
  <c r="AA23" i="13"/>
  <c r="AB23" i="13" s="1"/>
  <c r="AA24" i="13"/>
  <c r="AB24" i="13" s="1"/>
  <c r="AC24" i="13" s="1"/>
  <c r="AA25" i="13"/>
  <c r="AB25" i="13" s="1"/>
  <c r="AC25" i="13" s="1"/>
  <c r="AA26" i="13"/>
  <c r="AA27" i="13"/>
  <c r="AB27" i="13" s="1"/>
  <c r="AC27" i="13" s="1"/>
  <c r="AA28" i="13"/>
  <c r="AB28" i="13" s="1"/>
  <c r="AC28" i="13" s="1"/>
  <c r="AA29" i="13"/>
  <c r="AB29" i="13" s="1"/>
  <c r="AA30" i="13"/>
  <c r="AB30" i="13" s="1"/>
  <c r="AA31" i="13"/>
  <c r="AB31" i="13" s="1"/>
  <c r="AA32" i="13"/>
  <c r="AB32" i="13" s="1"/>
  <c r="AC32" i="13" s="1"/>
  <c r="AA33" i="13"/>
  <c r="AB33" i="13" s="1"/>
  <c r="AC33" i="13" s="1"/>
  <c r="AA34" i="13"/>
  <c r="AA35" i="13"/>
  <c r="AB35" i="13" s="1"/>
  <c r="AA36" i="13"/>
  <c r="AB36" i="13" s="1"/>
  <c r="AC36" i="13" s="1"/>
  <c r="AA37" i="13"/>
  <c r="AB37" i="13" s="1"/>
  <c r="AA38" i="13"/>
  <c r="AB38" i="13" s="1"/>
  <c r="AA39" i="13"/>
  <c r="AB39" i="13" s="1"/>
  <c r="AA40" i="13"/>
  <c r="AB40" i="13" s="1"/>
  <c r="AC40" i="13" s="1"/>
  <c r="AA41" i="13"/>
  <c r="AB41" i="13" s="1"/>
  <c r="AC41" i="13" s="1"/>
  <c r="AA42" i="13"/>
  <c r="AB42" i="13" s="1"/>
  <c r="AA43" i="13"/>
  <c r="AB43" i="13" s="1"/>
  <c r="AA44" i="13"/>
  <c r="AB44" i="13" s="1"/>
  <c r="AC44" i="13" s="1"/>
  <c r="AA45" i="13"/>
  <c r="AB45" i="13" s="1"/>
  <c r="AA46" i="13"/>
  <c r="AA47" i="13"/>
  <c r="AB47" i="13" s="1"/>
  <c r="AA48" i="13"/>
  <c r="AB48" i="13" s="1"/>
  <c r="AC48" i="13" s="1"/>
  <c r="AA49" i="13"/>
  <c r="AB49" i="13" s="1"/>
  <c r="AC49" i="13" s="1"/>
  <c r="AA50" i="13"/>
  <c r="AA51" i="13"/>
  <c r="AB51" i="13" s="1"/>
  <c r="AA4" i="13"/>
  <c r="AB4" i="13" s="1"/>
  <c r="X5" i="13"/>
  <c r="Y5" i="13" s="1"/>
  <c r="X6" i="13"/>
  <c r="Y6" i="13" s="1"/>
  <c r="Z6" i="13" s="1"/>
  <c r="X7" i="13"/>
  <c r="Y7" i="13" s="1"/>
  <c r="X8" i="13"/>
  <c r="Y8" i="13" s="1"/>
  <c r="Z8" i="13" s="1"/>
  <c r="X9" i="13"/>
  <c r="Y9" i="13" s="1"/>
  <c r="X10" i="13"/>
  <c r="Y10" i="13" s="1"/>
  <c r="X11" i="13"/>
  <c r="Y11" i="13" s="1"/>
  <c r="X12" i="13"/>
  <c r="Y12" i="13" s="1"/>
  <c r="Z12" i="13" s="1"/>
  <c r="X13" i="13"/>
  <c r="Y13" i="13" s="1"/>
  <c r="X14" i="13"/>
  <c r="Y14" i="13" s="1"/>
  <c r="X15" i="13"/>
  <c r="Y15" i="13" s="1"/>
  <c r="X16" i="13"/>
  <c r="Y16" i="13" s="1"/>
  <c r="Z16" i="13" s="1"/>
  <c r="X17" i="13"/>
  <c r="Y17" i="13" s="1"/>
  <c r="X18" i="13"/>
  <c r="Y18" i="13" s="1"/>
  <c r="X19" i="13"/>
  <c r="Y19" i="13" s="1"/>
  <c r="X20" i="13"/>
  <c r="Y20" i="13" s="1"/>
  <c r="Z20" i="13" s="1"/>
  <c r="X21" i="13"/>
  <c r="Y21" i="13" s="1"/>
  <c r="Z21" i="13" s="1"/>
  <c r="X22" i="13"/>
  <c r="X23" i="13"/>
  <c r="Y23" i="13" s="1"/>
  <c r="X24" i="13"/>
  <c r="Y24" i="13" s="1"/>
  <c r="Z24" i="13" s="1"/>
  <c r="X25" i="13"/>
  <c r="Y25" i="13" s="1"/>
  <c r="Z25" i="13" s="1"/>
  <c r="X26" i="13"/>
  <c r="Y26" i="13" s="1"/>
  <c r="X27" i="13"/>
  <c r="Y27" i="13" s="1"/>
  <c r="X28" i="13"/>
  <c r="Y28" i="13" s="1"/>
  <c r="Z28" i="13" s="1"/>
  <c r="X29" i="13"/>
  <c r="Y29" i="13" s="1"/>
  <c r="X30" i="13"/>
  <c r="Y30" i="13" s="1"/>
  <c r="X31" i="13"/>
  <c r="Y31" i="13" s="1"/>
  <c r="Z31" i="13" s="1"/>
  <c r="X32" i="13"/>
  <c r="Y32" i="13" s="1"/>
  <c r="Z32" i="13" s="1"/>
  <c r="X33" i="13"/>
  <c r="Y33" i="13" s="1"/>
  <c r="Z33" i="13" s="1"/>
  <c r="X34" i="13"/>
  <c r="X35" i="13"/>
  <c r="Y35" i="13" s="1"/>
  <c r="Z35" i="13" s="1"/>
  <c r="X36" i="13"/>
  <c r="Y36" i="13" s="1"/>
  <c r="X37" i="13"/>
  <c r="Y37" i="13" s="1"/>
  <c r="X38" i="13"/>
  <c r="X39" i="13"/>
  <c r="Y39" i="13" s="1"/>
  <c r="Z39" i="13" s="1"/>
  <c r="X40" i="13"/>
  <c r="Y40" i="13" s="1"/>
  <c r="X41" i="13"/>
  <c r="Y41" i="13" s="1"/>
  <c r="Z41" i="13" s="1"/>
  <c r="X42" i="13"/>
  <c r="X43" i="13"/>
  <c r="Y43" i="13" s="1"/>
  <c r="X44" i="13"/>
  <c r="Y44" i="13" s="1"/>
  <c r="Z44" i="13" s="1"/>
  <c r="X45" i="13"/>
  <c r="Y45" i="13" s="1"/>
  <c r="X46" i="13"/>
  <c r="X47" i="13"/>
  <c r="Y47" i="13" s="1"/>
  <c r="X48" i="13"/>
  <c r="Y48" i="13" s="1"/>
  <c r="Z48" i="13" s="1"/>
  <c r="X49" i="13"/>
  <c r="X50" i="13"/>
  <c r="Y50" i="13" s="1"/>
  <c r="Z50" i="13" s="1"/>
  <c r="X51" i="13"/>
  <c r="Y51" i="13" s="1"/>
  <c r="X4" i="13"/>
  <c r="Y4" i="13" s="1"/>
  <c r="U5" i="13"/>
  <c r="V5" i="13" s="1"/>
  <c r="U6" i="13"/>
  <c r="U7" i="13"/>
  <c r="V7" i="13" s="1"/>
  <c r="U8" i="13"/>
  <c r="V8" i="13" s="1"/>
  <c r="W8" i="13" s="1"/>
  <c r="U9" i="13"/>
  <c r="V9" i="13" s="1"/>
  <c r="U10" i="13"/>
  <c r="V10" i="13" s="1"/>
  <c r="U11" i="13"/>
  <c r="U12" i="13"/>
  <c r="V12" i="13" s="1"/>
  <c r="W12" i="13" s="1"/>
  <c r="U13" i="13"/>
  <c r="V13" i="13" s="1"/>
  <c r="U14" i="13"/>
  <c r="U15" i="13"/>
  <c r="V15" i="13" s="1"/>
  <c r="U16" i="13"/>
  <c r="V16" i="13" s="1"/>
  <c r="W16" i="13" s="1"/>
  <c r="U17" i="13"/>
  <c r="V17" i="13" s="1"/>
  <c r="U18" i="13"/>
  <c r="U19" i="13"/>
  <c r="V19" i="13" s="1"/>
  <c r="W19" i="13" s="1"/>
  <c r="U20" i="13"/>
  <c r="V20" i="13" s="1"/>
  <c r="U21" i="13"/>
  <c r="V21" i="13" s="1"/>
  <c r="W21" i="13" s="1"/>
  <c r="U22" i="13"/>
  <c r="U23" i="13"/>
  <c r="V23" i="13" s="1"/>
  <c r="W23" i="13" s="1"/>
  <c r="U24" i="13"/>
  <c r="V24" i="13" s="1"/>
  <c r="W24" i="13" s="1"/>
  <c r="U25" i="13"/>
  <c r="V25" i="13" s="1"/>
  <c r="W25" i="13" s="1"/>
  <c r="U26" i="13"/>
  <c r="U27" i="13"/>
  <c r="V27" i="13" s="1"/>
  <c r="W27" i="13" s="1"/>
  <c r="U28" i="13"/>
  <c r="V28" i="13" s="1"/>
  <c r="W28" i="13" s="1"/>
  <c r="U29" i="13"/>
  <c r="V29" i="13" s="1"/>
  <c r="U30" i="13"/>
  <c r="U31" i="13"/>
  <c r="V31" i="13" s="1"/>
  <c r="W31" i="13" s="1"/>
  <c r="U32" i="13"/>
  <c r="V32" i="13" s="1"/>
  <c r="W32" i="13" s="1"/>
  <c r="U33" i="13"/>
  <c r="V33" i="13" s="1"/>
  <c r="W33" i="13" s="1"/>
  <c r="U34" i="13"/>
  <c r="V34" i="13" s="1"/>
  <c r="U35" i="13"/>
  <c r="V35" i="13" s="1"/>
  <c r="W35" i="13" s="1"/>
  <c r="U36" i="13"/>
  <c r="U37" i="13"/>
  <c r="U38" i="13"/>
  <c r="U39" i="13"/>
  <c r="U40" i="13"/>
  <c r="U41" i="13"/>
  <c r="U42" i="13"/>
  <c r="U43" i="13"/>
  <c r="U44" i="13"/>
  <c r="V44" i="13" s="1"/>
  <c r="W44" i="13" s="1"/>
  <c r="U45" i="13"/>
  <c r="V45" i="13" s="1"/>
  <c r="W45" i="13" s="1"/>
  <c r="U46" i="13"/>
  <c r="V46" i="13" s="1"/>
  <c r="U47" i="13"/>
  <c r="V47" i="13" s="1"/>
  <c r="U48" i="13"/>
  <c r="V48" i="13" s="1"/>
  <c r="W48" i="13" s="1"/>
  <c r="U49" i="13"/>
  <c r="V49" i="13" s="1"/>
  <c r="W49" i="13" s="1"/>
  <c r="U50" i="13"/>
  <c r="U51" i="13"/>
  <c r="V51" i="13" s="1"/>
  <c r="U4" i="13"/>
  <c r="V4" i="13" s="1"/>
  <c r="R5" i="13"/>
  <c r="S5" i="13" s="1"/>
  <c r="T5" i="13" s="1"/>
  <c r="R6" i="13"/>
  <c r="S6" i="13" s="1"/>
  <c r="R7" i="13"/>
  <c r="S7" i="13" s="1"/>
  <c r="R8" i="13"/>
  <c r="S8" i="13" s="1"/>
  <c r="T8" i="13" s="1"/>
  <c r="R9" i="13"/>
  <c r="S9" i="13" s="1"/>
  <c r="R10" i="13"/>
  <c r="S10" i="13" s="1"/>
  <c r="R11" i="13"/>
  <c r="S11" i="13" s="1"/>
  <c r="R12" i="13"/>
  <c r="S12" i="13" s="1"/>
  <c r="T12" i="13" s="1"/>
  <c r="R13" i="13"/>
  <c r="S13" i="13" s="1"/>
  <c r="R14" i="13"/>
  <c r="S14" i="13" s="1"/>
  <c r="R15" i="13"/>
  <c r="S15" i="13" s="1"/>
  <c r="R16" i="13"/>
  <c r="S16" i="13" s="1"/>
  <c r="T16" i="13" s="1"/>
  <c r="R17" i="13"/>
  <c r="S17" i="13" s="1"/>
  <c r="R18" i="13"/>
  <c r="S18" i="13" s="1"/>
  <c r="R19" i="13"/>
  <c r="S19" i="13" s="1"/>
  <c r="R20" i="13"/>
  <c r="S20" i="13" s="1"/>
  <c r="R21" i="13"/>
  <c r="S21" i="13" s="1"/>
  <c r="T21" i="13" s="1"/>
  <c r="R22" i="13"/>
  <c r="S22" i="13" s="1"/>
  <c r="R23" i="13"/>
  <c r="S23" i="13" s="1"/>
  <c r="T23" i="13" s="1"/>
  <c r="R24" i="13"/>
  <c r="S24" i="13" s="1"/>
  <c r="T24" i="13" s="1"/>
  <c r="R25" i="13"/>
  <c r="S25" i="13" s="1"/>
  <c r="T25" i="13" s="1"/>
  <c r="R26" i="13"/>
  <c r="S26" i="13" s="1"/>
  <c r="R27" i="13"/>
  <c r="S27" i="13" s="1"/>
  <c r="T27" i="13" s="1"/>
  <c r="R28" i="13"/>
  <c r="S28" i="13" s="1"/>
  <c r="T28" i="13" s="1"/>
  <c r="R29" i="13"/>
  <c r="S29" i="13" s="1"/>
  <c r="T29" i="13" s="1"/>
  <c r="R30" i="13"/>
  <c r="R31" i="13"/>
  <c r="S31" i="13" s="1"/>
  <c r="T31" i="13" s="1"/>
  <c r="R32" i="13"/>
  <c r="S32" i="13" s="1"/>
  <c r="T32" i="13" s="1"/>
  <c r="R33" i="13"/>
  <c r="S33" i="13" s="1"/>
  <c r="T33" i="13" s="1"/>
  <c r="R34" i="13"/>
  <c r="S34" i="13" s="1"/>
  <c r="R35" i="13"/>
  <c r="S35" i="13" s="1"/>
  <c r="T35" i="13" s="1"/>
  <c r="R36" i="13"/>
  <c r="S36" i="13" s="1"/>
  <c r="R37" i="13"/>
  <c r="S37" i="13" s="1"/>
  <c r="R38" i="13"/>
  <c r="S38" i="13" s="1"/>
  <c r="R39" i="13"/>
  <c r="S39" i="13" s="1"/>
  <c r="R40" i="13"/>
  <c r="S40" i="13" s="1"/>
  <c r="T40" i="13" s="1"/>
  <c r="R41" i="13"/>
  <c r="S41" i="13" s="1"/>
  <c r="T41" i="13" s="1"/>
  <c r="R42" i="13"/>
  <c r="S42" i="13" s="1"/>
  <c r="R43" i="13"/>
  <c r="S43" i="13" s="1"/>
  <c r="R44" i="13"/>
  <c r="S44" i="13" s="1"/>
  <c r="T44" i="13" s="1"/>
  <c r="R45" i="13"/>
  <c r="S45" i="13" s="1"/>
  <c r="R46" i="13"/>
  <c r="S46" i="13" s="1"/>
  <c r="R47" i="13"/>
  <c r="S47" i="13" s="1"/>
  <c r="R48" i="13"/>
  <c r="S48" i="13" s="1"/>
  <c r="T48" i="13" s="1"/>
  <c r="R49" i="13"/>
  <c r="S49" i="13" s="1"/>
  <c r="R50" i="13"/>
  <c r="S50" i="13" s="1"/>
  <c r="R51" i="13"/>
  <c r="S51" i="13" s="1"/>
  <c r="R4" i="13"/>
  <c r="S4" i="13" s="1"/>
  <c r="M5" i="13"/>
  <c r="P5" i="13" s="1"/>
  <c r="M6" i="13"/>
  <c r="P6" i="13" s="1"/>
  <c r="M7" i="13"/>
  <c r="M8" i="13"/>
  <c r="M9" i="13"/>
  <c r="N9" i="13" s="1"/>
  <c r="M10" i="13"/>
  <c r="P10" i="13" s="1"/>
  <c r="M11" i="13"/>
  <c r="N11" i="13" s="1"/>
  <c r="O11" i="13" s="1"/>
  <c r="M12" i="13"/>
  <c r="M13" i="13"/>
  <c r="M14" i="13"/>
  <c r="Q14" i="13" s="1"/>
  <c r="M15" i="13"/>
  <c r="Q15" i="13" s="1"/>
  <c r="M16" i="13"/>
  <c r="M17" i="13"/>
  <c r="M18" i="13"/>
  <c r="M19" i="13"/>
  <c r="P19" i="13" s="1"/>
  <c r="M20" i="13"/>
  <c r="N20" i="13" s="1"/>
  <c r="O20" i="13" s="1"/>
  <c r="M21" i="13"/>
  <c r="M22" i="13"/>
  <c r="Q22" i="13" s="1"/>
  <c r="M23" i="13"/>
  <c r="N23" i="13" s="1"/>
  <c r="O23" i="13" s="1"/>
  <c r="M24" i="13"/>
  <c r="N24" i="13" s="1"/>
  <c r="O24" i="13" s="1"/>
  <c r="M25" i="13"/>
  <c r="M26" i="13"/>
  <c r="N26" i="13" s="1"/>
  <c r="M27" i="13"/>
  <c r="M28" i="13"/>
  <c r="M29" i="13"/>
  <c r="N29" i="13" s="1"/>
  <c r="M30" i="13"/>
  <c r="Q30" i="13" s="1"/>
  <c r="M31" i="13"/>
  <c r="P31" i="13" s="1"/>
  <c r="M32" i="13"/>
  <c r="M33" i="13"/>
  <c r="P33" i="13" s="1"/>
  <c r="M34" i="13"/>
  <c r="N34" i="13" s="1"/>
  <c r="M35" i="13"/>
  <c r="M36" i="13"/>
  <c r="M37" i="13"/>
  <c r="M38" i="13"/>
  <c r="N38" i="13" s="1"/>
  <c r="M39" i="13"/>
  <c r="M40" i="13"/>
  <c r="M41" i="13"/>
  <c r="M42" i="13"/>
  <c r="P42" i="13" s="1"/>
  <c r="M43" i="13"/>
  <c r="N43" i="13" s="1"/>
  <c r="M44" i="13"/>
  <c r="M45" i="13"/>
  <c r="M46" i="13"/>
  <c r="P46" i="13" s="1"/>
  <c r="M47" i="13"/>
  <c r="N47" i="13" s="1"/>
  <c r="M48" i="13"/>
  <c r="M49" i="13"/>
  <c r="M50" i="13"/>
  <c r="N50" i="13" s="1"/>
  <c r="M51" i="13"/>
  <c r="P51" i="13" s="1"/>
  <c r="M4" i="13"/>
  <c r="F5" i="13"/>
  <c r="F6" i="13"/>
  <c r="J6" i="13" s="1"/>
  <c r="F7" i="13"/>
  <c r="I7" i="13" s="1"/>
  <c r="F8" i="13"/>
  <c r="F9" i="13"/>
  <c r="K9" i="13" s="1"/>
  <c r="F10" i="13"/>
  <c r="F11" i="13"/>
  <c r="L11" i="13" s="1"/>
  <c r="F12" i="13"/>
  <c r="F13" i="13"/>
  <c r="F14" i="13"/>
  <c r="J14" i="13" s="1"/>
  <c r="F15" i="13"/>
  <c r="F16" i="13"/>
  <c r="F17" i="13"/>
  <c r="F18" i="13"/>
  <c r="F19" i="13"/>
  <c r="F20" i="13"/>
  <c r="F21" i="13"/>
  <c r="F22" i="13"/>
  <c r="G22" i="13" s="1"/>
  <c r="F23" i="13"/>
  <c r="I23" i="13" s="1"/>
  <c r="F24" i="13"/>
  <c r="F25" i="13"/>
  <c r="G25" i="13" s="1"/>
  <c r="H25" i="13" s="1"/>
  <c r="F26" i="13"/>
  <c r="I26" i="13" s="1"/>
  <c r="F27" i="13"/>
  <c r="F28" i="13"/>
  <c r="F29" i="13"/>
  <c r="F30" i="13"/>
  <c r="K30" i="13" s="1"/>
  <c r="F31" i="13"/>
  <c r="G31" i="13" s="1"/>
  <c r="H31" i="13" s="1"/>
  <c r="F32" i="13"/>
  <c r="F33" i="13"/>
  <c r="F34" i="13"/>
  <c r="J34" i="13" s="1"/>
  <c r="F35" i="13"/>
  <c r="F36" i="13"/>
  <c r="G36" i="13" s="1"/>
  <c r="H36" i="13" s="1"/>
  <c r="F37" i="13"/>
  <c r="K37" i="13" s="1"/>
  <c r="F38" i="13"/>
  <c r="K38" i="13" s="1"/>
  <c r="F39" i="13"/>
  <c r="F40" i="13"/>
  <c r="J40" i="13" s="1"/>
  <c r="F41" i="13"/>
  <c r="F42" i="13"/>
  <c r="I42" i="13" s="1"/>
  <c r="F43" i="13"/>
  <c r="J43" i="13" s="1"/>
  <c r="F44" i="13"/>
  <c r="F45" i="13"/>
  <c r="I45" i="13" s="1"/>
  <c r="F46" i="13"/>
  <c r="F47" i="13"/>
  <c r="J47" i="13" s="1"/>
  <c r="F48" i="13"/>
  <c r="F49" i="13"/>
  <c r="F50" i="13"/>
  <c r="F51" i="13"/>
  <c r="F4" i="13"/>
  <c r="I4" i="13" s="1"/>
  <c r="E51" i="13"/>
  <c r="AE50" i="13"/>
  <c r="AB50" i="13"/>
  <c r="V50" i="13"/>
  <c r="P50" i="13"/>
  <c r="E50" i="13"/>
  <c r="Y49" i="13"/>
  <c r="Z49" i="13" s="1"/>
  <c r="E49" i="13"/>
  <c r="E48" i="13"/>
  <c r="E47" i="13"/>
  <c r="AE46" i="13"/>
  <c r="AB46" i="13"/>
  <c r="Y46" i="13"/>
  <c r="E46" i="13"/>
  <c r="E45" i="13"/>
  <c r="E44" i="13"/>
  <c r="I43" i="13"/>
  <c r="E43" i="13"/>
  <c r="W43" i="13" s="1"/>
  <c r="AE42" i="13"/>
  <c r="Y42" i="13"/>
  <c r="Z42" i="13" s="1"/>
  <c r="N42" i="13"/>
  <c r="O42" i="13" s="1"/>
  <c r="K42" i="13"/>
  <c r="G42" i="13"/>
  <c r="H42" i="13" s="1"/>
  <c r="J42" i="13"/>
  <c r="E42" i="13"/>
  <c r="W42" i="13" s="1"/>
  <c r="E41" i="13"/>
  <c r="W41" i="13" s="1"/>
  <c r="E40" i="13"/>
  <c r="W40" i="13" s="1"/>
  <c r="E39" i="13"/>
  <c r="W39" i="13" s="1"/>
  <c r="AE38" i="13"/>
  <c r="Y38" i="13"/>
  <c r="Q38" i="13"/>
  <c r="P38" i="13"/>
  <c r="I38" i="13"/>
  <c r="G38" i="13"/>
  <c r="J38" i="13"/>
  <c r="E38" i="13"/>
  <c r="W38" i="13" s="1"/>
  <c r="E37" i="13"/>
  <c r="W37" i="13" s="1"/>
  <c r="E36" i="13"/>
  <c r="W36" i="13" s="1"/>
  <c r="E35" i="13"/>
  <c r="AE34" i="13"/>
  <c r="AB34" i="13"/>
  <c r="Y34" i="13"/>
  <c r="P34" i="13"/>
  <c r="Q34" i="13"/>
  <c r="K34" i="13"/>
  <c r="E34" i="13"/>
  <c r="E33" i="13"/>
  <c r="E32" i="13"/>
  <c r="AE31" i="13"/>
  <c r="AF31" i="13" s="1"/>
  <c r="E31" i="13"/>
  <c r="AE30" i="13"/>
  <c r="AF30" i="13" s="1"/>
  <c r="V30" i="13"/>
  <c r="S30" i="13"/>
  <c r="P30" i="13"/>
  <c r="E30" i="13"/>
  <c r="W30" i="13" s="1"/>
  <c r="E29" i="13"/>
  <c r="E28" i="13"/>
  <c r="E27" i="13"/>
  <c r="AE26" i="13"/>
  <c r="AB26" i="13"/>
  <c r="V26" i="13"/>
  <c r="Q26" i="13"/>
  <c r="K26" i="13"/>
  <c r="G26" i="13"/>
  <c r="E26" i="13"/>
  <c r="E25" i="13"/>
  <c r="E24" i="13"/>
  <c r="E23" i="13"/>
  <c r="AB22" i="13"/>
  <c r="Y22" i="13"/>
  <c r="V22" i="13"/>
  <c r="P22" i="13"/>
  <c r="N22" i="13"/>
  <c r="K22" i="13"/>
  <c r="I22" i="13"/>
  <c r="E22" i="13"/>
  <c r="E21" i="13"/>
  <c r="E20" i="13"/>
  <c r="E19" i="13"/>
  <c r="AE18" i="13"/>
  <c r="V18" i="13"/>
  <c r="P18" i="13"/>
  <c r="E18" i="13"/>
  <c r="E17" i="13"/>
  <c r="E16" i="13"/>
  <c r="E15" i="13"/>
  <c r="AE14" i="13"/>
  <c r="AB14" i="13"/>
  <c r="V14" i="13"/>
  <c r="N14" i="13"/>
  <c r="P14" i="13"/>
  <c r="I14" i="13"/>
  <c r="E14" i="13"/>
  <c r="E13" i="13"/>
  <c r="E12" i="13"/>
  <c r="V11" i="13"/>
  <c r="W11" i="13" s="1"/>
  <c r="E11" i="13"/>
  <c r="AE10" i="13"/>
  <c r="AB10" i="13"/>
  <c r="I10" i="13"/>
  <c r="E10" i="13"/>
  <c r="P9" i="13"/>
  <c r="E9" i="13"/>
  <c r="E8" i="13"/>
  <c r="E7" i="13"/>
  <c r="AE6" i="13"/>
  <c r="AB6" i="13"/>
  <c r="AC6" i="13" s="1"/>
  <c r="V6" i="13"/>
  <c r="W6" i="13" s="1"/>
  <c r="N6" i="13"/>
  <c r="Q6" i="13"/>
  <c r="I6" i="13"/>
  <c r="E6" i="13"/>
  <c r="E5" i="13"/>
  <c r="A5" i="13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E4" i="13"/>
  <c r="AD5" i="12"/>
  <c r="AE5" i="12" s="1"/>
  <c r="AD6" i="12"/>
  <c r="AE6" i="12" s="1"/>
  <c r="AD7" i="12"/>
  <c r="AE7" i="12" s="1"/>
  <c r="AD8" i="12"/>
  <c r="AE8" i="12" s="1"/>
  <c r="AD9" i="12"/>
  <c r="AE9" i="12" s="1"/>
  <c r="AF9" i="12" s="1"/>
  <c r="AD10" i="12"/>
  <c r="AD11" i="12"/>
  <c r="AD12" i="12"/>
  <c r="AE12" i="12" s="1"/>
  <c r="AD13" i="12"/>
  <c r="AE13" i="12" s="1"/>
  <c r="AF13" i="12" s="1"/>
  <c r="AD14" i="12"/>
  <c r="AD15" i="12"/>
  <c r="AE15" i="12" s="1"/>
  <c r="AD16" i="12"/>
  <c r="AE16" i="12" s="1"/>
  <c r="AD17" i="12"/>
  <c r="AE17" i="12" s="1"/>
  <c r="AD18" i="12"/>
  <c r="AD19" i="12"/>
  <c r="AE19" i="12" s="1"/>
  <c r="AD20" i="12"/>
  <c r="AE20" i="12" s="1"/>
  <c r="AD21" i="12"/>
  <c r="AE21" i="12" s="1"/>
  <c r="AF21" i="12" s="1"/>
  <c r="AD22" i="12"/>
  <c r="AD23" i="12"/>
  <c r="AE23" i="12" s="1"/>
  <c r="AD24" i="12"/>
  <c r="AE24" i="12" s="1"/>
  <c r="AD25" i="12"/>
  <c r="AE25" i="12" s="1"/>
  <c r="AF25" i="12" s="1"/>
  <c r="AD26" i="12"/>
  <c r="AD27" i="12"/>
  <c r="AE27" i="12" s="1"/>
  <c r="AD28" i="12"/>
  <c r="AE28" i="12" s="1"/>
  <c r="AD29" i="12"/>
  <c r="AD30" i="12"/>
  <c r="AD31" i="12"/>
  <c r="AE31" i="12" s="1"/>
  <c r="AD32" i="12"/>
  <c r="AE32" i="12" s="1"/>
  <c r="AD33" i="12"/>
  <c r="AE33" i="12" s="1"/>
  <c r="AF33" i="12" s="1"/>
  <c r="AD34" i="12"/>
  <c r="AD35" i="12"/>
  <c r="AE35" i="12" s="1"/>
  <c r="AF35" i="12" s="1"/>
  <c r="AD36" i="12"/>
  <c r="AE36" i="12" s="1"/>
  <c r="AD37" i="12"/>
  <c r="AE37" i="12" s="1"/>
  <c r="AF37" i="12" s="1"/>
  <c r="AD38" i="12"/>
  <c r="AE38" i="12" s="1"/>
  <c r="AD39" i="12"/>
  <c r="AE39" i="12" s="1"/>
  <c r="AD40" i="12"/>
  <c r="AE40" i="12" s="1"/>
  <c r="AD41" i="12"/>
  <c r="AD42" i="12"/>
  <c r="AE42" i="12" s="1"/>
  <c r="AF42" i="12" s="1"/>
  <c r="AD43" i="12"/>
  <c r="AE43" i="12" s="1"/>
  <c r="AD44" i="12"/>
  <c r="AE44" i="12" s="1"/>
  <c r="AD45" i="12"/>
  <c r="AE45" i="12" s="1"/>
  <c r="AF45" i="12" s="1"/>
  <c r="AD46" i="12"/>
  <c r="AD47" i="12"/>
  <c r="AE47" i="12" s="1"/>
  <c r="AD48" i="12"/>
  <c r="AE48" i="12" s="1"/>
  <c r="AD49" i="12"/>
  <c r="AE49" i="12" s="1"/>
  <c r="AF49" i="12" s="1"/>
  <c r="AD50" i="12"/>
  <c r="AD51" i="12"/>
  <c r="AE51" i="12" s="1"/>
  <c r="AD4" i="12"/>
  <c r="AE4" i="12" s="1"/>
  <c r="AA5" i="12"/>
  <c r="AB5" i="12" s="1"/>
  <c r="AC5" i="12" s="1"/>
  <c r="AA6" i="12"/>
  <c r="AA7" i="12"/>
  <c r="AA8" i="12"/>
  <c r="AB8" i="12" s="1"/>
  <c r="AA9" i="12"/>
  <c r="AB9" i="12" s="1"/>
  <c r="AC9" i="12" s="1"/>
  <c r="AA10" i="12"/>
  <c r="AA11" i="12"/>
  <c r="AA12" i="12"/>
  <c r="AB12" i="12" s="1"/>
  <c r="AA13" i="12"/>
  <c r="AB13" i="12" s="1"/>
  <c r="AC13" i="12" s="1"/>
  <c r="AA14" i="12"/>
  <c r="AB14" i="12" s="1"/>
  <c r="AA15" i="12"/>
  <c r="AB15" i="12" s="1"/>
  <c r="AA16" i="12"/>
  <c r="AB16" i="12" s="1"/>
  <c r="AA17" i="12"/>
  <c r="AB17" i="12" s="1"/>
  <c r="AA18" i="12"/>
  <c r="AB18" i="12" s="1"/>
  <c r="AA19" i="12"/>
  <c r="AA20" i="12"/>
  <c r="AB20" i="12" s="1"/>
  <c r="AA21" i="12"/>
  <c r="AB21" i="12" s="1"/>
  <c r="AC21" i="12" s="1"/>
  <c r="AA22" i="12"/>
  <c r="AA23" i="12"/>
  <c r="AA24" i="12"/>
  <c r="AB24" i="12" s="1"/>
  <c r="AA25" i="12"/>
  <c r="AB25" i="12" s="1"/>
  <c r="AC25" i="12" s="1"/>
  <c r="AA26" i="12"/>
  <c r="AA27" i="12"/>
  <c r="AA28" i="12"/>
  <c r="AB28" i="12" s="1"/>
  <c r="AA29" i="12"/>
  <c r="AB29" i="12" s="1"/>
  <c r="AC29" i="12" s="1"/>
  <c r="AA30" i="12"/>
  <c r="AB30" i="12" s="1"/>
  <c r="AC30" i="12" s="1"/>
  <c r="AA31" i="12"/>
  <c r="AB31" i="12" s="1"/>
  <c r="AA32" i="12"/>
  <c r="AA33" i="12"/>
  <c r="AB33" i="12" s="1"/>
  <c r="AC33" i="12" s="1"/>
  <c r="AA34" i="12"/>
  <c r="AB34" i="12" s="1"/>
  <c r="AA35" i="12"/>
  <c r="AA36" i="12"/>
  <c r="AB36" i="12" s="1"/>
  <c r="AA37" i="12"/>
  <c r="AB37" i="12" s="1"/>
  <c r="AC37" i="12" s="1"/>
  <c r="AA38" i="12"/>
  <c r="AA39" i="12"/>
  <c r="AB39" i="12" s="1"/>
  <c r="AA40" i="12"/>
  <c r="AB40" i="12" s="1"/>
  <c r="AA41" i="12"/>
  <c r="AB41" i="12" s="1"/>
  <c r="AC41" i="12" s="1"/>
  <c r="AA42" i="12"/>
  <c r="AA43" i="12"/>
  <c r="AA44" i="12"/>
  <c r="AB44" i="12" s="1"/>
  <c r="AA45" i="12"/>
  <c r="AB45" i="12" s="1"/>
  <c r="AC45" i="12" s="1"/>
  <c r="AA46" i="12"/>
  <c r="AA47" i="12"/>
  <c r="AB47" i="12" s="1"/>
  <c r="AA48" i="12"/>
  <c r="AB48" i="12" s="1"/>
  <c r="AA49" i="12"/>
  <c r="AB49" i="12" s="1"/>
  <c r="AC49" i="12" s="1"/>
  <c r="AA50" i="12"/>
  <c r="AB50" i="12" s="1"/>
  <c r="AA51" i="12"/>
  <c r="AA4" i="12"/>
  <c r="AB4" i="12" s="1"/>
  <c r="X5" i="12"/>
  <c r="Y5" i="12" s="1"/>
  <c r="Z5" i="12" s="1"/>
  <c r="X6" i="12"/>
  <c r="X7" i="12"/>
  <c r="X8" i="12"/>
  <c r="Y8" i="12" s="1"/>
  <c r="X9" i="12"/>
  <c r="Y9" i="12" s="1"/>
  <c r="Z9" i="12" s="1"/>
  <c r="X10" i="12"/>
  <c r="X11" i="12"/>
  <c r="Y11" i="12" s="1"/>
  <c r="X12" i="12"/>
  <c r="Y12" i="12" s="1"/>
  <c r="X13" i="12"/>
  <c r="Y13" i="12" s="1"/>
  <c r="Z13" i="12" s="1"/>
  <c r="X14" i="12"/>
  <c r="X15" i="12"/>
  <c r="Y15" i="12" s="1"/>
  <c r="X16" i="12"/>
  <c r="Y16" i="12" s="1"/>
  <c r="X17" i="12"/>
  <c r="Y17" i="12" s="1"/>
  <c r="X18" i="12"/>
  <c r="X19" i="12"/>
  <c r="Y19" i="12" s="1"/>
  <c r="X20" i="12"/>
  <c r="Y20" i="12" s="1"/>
  <c r="X21" i="12"/>
  <c r="Y21" i="12" s="1"/>
  <c r="Z21" i="12" s="1"/>
  <c r="X22" i="12"/>
  <c r="X23" i="12"/>
  <c r="Y23" i="12" s="1"/>
  <c r="Z23" i="12" s="1"/>
  <c r="X24" i="12"/>
  <c r="Y24" i="12" s="1"/>
  <c r="X25" i="12"/>
  <c r="Y25" i="12" s="1"/>
  <c r="Z25" i="12" s="1"/>
  <c r="X26" i="12"/>
  <c r="Y26" i="12" s="1"/>
  <c r="X27" i="12"/>
  <c r="Y27" i="12" s="1"/>
  <c r="X28" i="12"/>
  <c r="Y28" i="12" s="1"/>
  <c r="X29" i="12"/>
  <c r="Y29" i="12" s="1"/>
  <c r="Z29" i="12" s="1"/>
  <c r="X30" i="12"/>
  <c r="X31" i="12"/>
  <c r="Y31" i="12" s="1"/>
  <c r="X32" i="12"/>
  <c r="Y32" i="12" s="1"/>
  <c r="X33" i="12"/>
  <c r="Y33" i="12" s="1"/>
  <c r="Z33" i="12" s="1"/>
  <c r="X34" i="12"/>
  <c r="X35" i="12"/>
  <c r="X36" i="12"/>
  <c r="Y36" i="12" s="1"/>
  <c r="X37" i="12"/>
  <c r="Y37" i="12" s="1"/>
  <c r="Z37" i="12" s="1"/>
  <c r="X38" i="12"/>
  <c r="Y38" i="12" s="1"/>
  <c r="X39" i="12"/>
  <c r="Y39" i="12" s="1"/>
  <c r="X40" i="12"/>
  <c r="Y40" i="12" s="1"/>
  <c r="X41" i="12"/>
  <c r="Y41" i="12" s="1"/>
  <c r="Z41" i="12" s="1"/>
  <c r="X42" i="12"/>
  <c r="Y42" i="12" s="1"/>
  <c r="Z42" i="12" s="1"/>
  <c r="X43" i="12"/>
  <c r="Y43" i="12" s="1"/>
  <c r="X44" i="12"/>
  <c r="Y44" i="12" s="1"/>
  <c r="X45" i="12"/>
  <c r="Y45" i="12" s="1"/>
  <c r="Z45" i="12" s="1"/>
  <c r="X46" i="12"/>
  <c r="Y46" i="12" s="1"/>
  <c r="X47" i="12"/>
  <c r="Y47" i="12" s="1"/>
  <c r="X48" i="12"/>
  <c r="Y48" i="12" s="1"/>
  <c r="X49" i="12"/>
  <c r="Y49" i="12" s="1"/>
  <c r="Z49" i="12" s="1"/>
  <c r="X50" i="12"/>
  <c r="Y50" i="12" s="1"/>
  <c r="X51" i="12"/>
  <c r="Y51" i="12" s="1"/>
  <c r="X4" i="12"/>
  <c r="Y4" i="12" s="1"/>
  <c r="U5" i="12"/>
  <c r="V5" i="12" s="1"/>
  <c r="U6" i="12"/>
  <c r="U7" i="12"/>
  <c r="U8" i="12"/>
  <c r="V8" i="12" s="1"/>
  <c r="U9" i="12"/>
  <c r="V9" i="12" s="1"/>
  <c r="W9" i="12" s="1"/>
  <c r="U10" i="12"/>
  <c r="V10" i="12" s="1"/>
  <c r="U11" i="12"/>
  <c r="V11" i="12" s="1"/>
  <c r="U12" i="12"/>
  <c r="V12" i="12" s="1"/>
  <c r="W12" i="12" s="1"/>
  <c r="U13" i="12"/>
  <c r="V13" i="12" s="1"/>
  <c r="W13" i="12" s="1"/>
  <c r="U14" i="12"/>
  <c r="V14" i="12" s="1"/>
  <c r="U15" i="12"/>
  <c r="V15" i="12" s="1"/>
  <c r="U16" i="12"/>
  <c r="V16" i="12" s="1"/>
  <c r="U17" i="12"/>
  <c r="V17" i="12" s="1"/>
  <c r="U18" i="12"/>
  <c r="V18" i="12" s="1"/>
  <c r="U19" i="12"/>
  <c r="V19" i="12" s="1"/>
  <c r="U20" i="12"/>
  <c r="V20" i="12" s="1"/>
  <c r="U21" i="12"/>
  <c r="V21" i="12" s="1"/>
  <c r="W21" i="12" s="1"/>
  <c r="U22" i="12"/>
  <c r="V22" i="12" s="1"/>
  <c r="W22" i="12" s="1"/>
  <c r="U23" i="12"/>
  <c r="V23" i="12" s="1"/>
  <c r="U24" i="12"/>
  <c r="V24" i="12" s="1"/>
  <c r="W24" i="12" s="1"/>
  <c r="U25" i="12"/>
  <c r="V25" i="12" s="1"/>
  <c r="W25" i="12" s="1"/>
  <c r="U26" i="12"/>
  <c r="V26" i="12" s="1"/>
  <c r="U27" i="12"/>
  <c r="V27" i="12" s="1"/>
  <c r="U28" i="12"/>
  <c r="V28" i="12" s="1"/>
  <c r="W28" i="12" s="1"/>
  <c r="U29" i="12"/>
  <c r="V29" i="12" s="1"/>
  <c r="W29" i="12" s="1"/>
  <c r="U30" i="12"/>
  <c r="V30" i="12" s="1"/>
  <c r="W30" i="12" s="1"/>
  <c r="U31" i="12"/>
  <c r="V31" i="12" s="1"/>
  <c r="U32" i="12"/>
  <c r="V32" i="12" s="1"/>
  <c r="U33" i="12"/>
  <c r="V33" i="12" s="1"/>
  <c r="W33" i="12" s="1"/>
  <c r="U34" i="12"/>
  <c r="V34" i="12" s="1"/>
  <c r="U35" i="12"/>
  <c r="V35" i="12" s="1"/>
  <c r="U36" i="12"/>
  <c r="U37" i="12"/>
  <c r="U38" i="12"/>
  <c r="U39" i="12"/>
  <c r="U40" i="12"/>
  <c r="U41" i="12"/>
  <c r="U42" i="12"/>
  <c r="U43" i="12"/>
  <c r="U44" i="12"/>
  <c r="V44" i="12" s="1"/>
  <c r="W44" i="12" s="1"/>
  <c r="U45" i="12"/>
  <c r="V45" i="12" s="1"/>
  <c r="W45" i="12" s="1"/>
  <c r="U46" i="12"/>
  <c r="V46" i="12" s="1"/>
  <c r="W46" i="12" s="1"/>
  <c r="U47" i="12"/>
  <c r="V47" i="12" s="1"/>
  <c r="U48" i="12"/>
  <c r="V48" i="12" s="1"/>
  <c r="U49" i="12"/>
  <c r="V49" i="12" s="1"/>
  <c r="W49" i="12" s="1"/>
  <c r="U50" i="12"/>
  <c r="V50" i="12" s="1"/>
  <c r="U51" i="12"/>
  <c r="V51" i="12" s="1"/>
  <c r="U4" i="12"/>
  <c r="V4" i="12" s="1"/>
  <c r="R5" i="12"/>
  <c r="S5" i="12" s="1"/>
  <c r="T5" i="12" s="1"/>
  <c r="R6" i="12"/>
  <c r="S6" i="12" s="1"/>
  <c r="R7" i="12"/>
  <c r="S7" i="12" s="1"/>
  <c r="R8" i="12"/>
  <c r="S8" i="12" s="1"/>
  <c r="T8" i="12" s="1"/>
  <c r="R9" i="12"/>
  <c r="S9" i="12" s="1"/>
  <c r="T9" i="12" s="1"/>
  <c r="R10" i="12"/>
  <c r="S10" i="12" s="1"/>
  <c r="R11" i="12"/>
  <c r="S11" i="12" s="1"/>
  <c r="R12" i="12"/>
  <c r="S12" i="12" s="1"/>
  <c r="R13" i="12"/>
  <c r="S13" i="12" s="1"/>
  <c r="T13" i="12" s="1"/>
  <c r="R14" i="12"/>
  <c r="S14" i="12" s="1"/>
  <c r="R15" i="12"/>
  <c r="S15" i="12" s="1"/>
  <c r="R16" i="12"/>
  <c r="S16" i="12" s="1"/>
  <c r="R17" i="12"/>
  <c r="S17" i="12" s="1"/>
  <c r="R18" i="12"/>
  <c r="R19" i="12"/>
  <c r="S19" i="12" s="1"/>
  <c r="R20" i="12"/>
  <c r="S20" i="12" s="1"/>
  <c r="R21" i="12"/>
  <c r="R22" i="12"/>
  <c r="S22" i="12" s="1"/>
  <c r="T22" i="12" s="1"/>
  <c r="R23" i="12"/>
  <c r="S23" i="12" s="1"/>
  <c r="R24" i="12"/>
  <c r="S24" i="12" s="1"/>
  <c r="R25" i="12"/>
  <c r="S25" i="12" s="1"/>
  <c r="T25" i="12" s="1"/>
  <c r="R26" i="12"/>
  <c r="S26" i="12" s="1"/>
  <c r="R27" i="12"/>
  <c r="R28" i="12"/>
  <c r="S28" i="12" s="1"/>
  <c r="T28" i="12" s="1"/>
  <c r="R29" i="12"/>
  <c r="S29" i="12" s="1"/>
  <c r="T29" i="12" s="1"/>
  <c r="R30" i="12"/>
  <c r="S30" i="12" s="1"/>
  <c r="R31" i="12"/>
  <c r="S31" i="12" s="1"/>
  <c r="R32" i="12"/>
  <c r="S32" i="12" s="1"/>
  <c r="R33" i="12"/>
  <c r="S33" i="12" s="1"/>
  <c r="T33" i="12" s="1"/>
  <c r="R34" i="12"/>
  <c r="S34" i="12" s="1"/>
  <c r="R35" i="12"/>
  <c r="S35" i="12" s="1"/>
  <c r="T35" i="12" s="1"/>
  <c r="R36" i="12"/>
  <c r="S36" i="12" s="1"/>
  <c r="R37" i="12"/>
  <c r="S37" i="12" s="1"/>
  <c r="T37" i="12" s="1"/>
  <c r="R38" i="12"/>
  <c r="R39" i="12"/>
  <c r="S39" i="12" s="1"/>
  <c r="R40" i="12"/>
  <c r="S40" i="12" s="1"/>
  <c r="R41" i="12"/>
  <c r="S41" i="12" s="1"/>
  <c r="T41" i="12" s="1"/>
  <c r="R42" i="12"/>
  <c r="S42" i="12" s="1"/>
  <c r="T42" i="12" s="1"/>
  <c r="R43" i="12"/>
  <c r="S43" i="12" s="1"/>
  <c r="R44" i="12"/>
  <c r="S44" i="12" s="1"/>
  <c r="T44" i="12" s="1"/>
  <c r="R45" i="12"/>
  <c r="S45" i="12" s="1"/>
  <c r="T45" i="12" s="1"/>
  <c r="R46" i="12"/>
  <c r="R47" i="12"/>
  <c r="S47" i="12" s="1"/>
  <c r="R48" i="12"/>
  <c r="S48" i="12" s="1"/>
  <c r="R49" i="12"/>
  <c r="S49" i="12" s="1"/>
  <c r="T49" i="12" s="1"/>
  <c r="R50" i="12"/>
  <c r="S50" i="12" s="1"/>
  <c r="R51" i="12"/>
  <c r="R4" i="12"/>
  <c r="S4" i="12" s="1"/>
  <c r="M5" i="12"/>
  <c r="Q5" i="12" s="1"/>
  <c r="M6" i="12"/>
  <c r="M7" i="12"/>
  <c r="M8" i="12"/>
  <c r="Q8" i="12" s="1"/>
  <c r="M9" i="12"/>
  <c r="N9" i="12" s="1"/>
  <c r="O9" i="12" s="1"/>
  <c r="M10" i="12"/>
  <c r="M11" i="12"/>
  <c r="N11" i="12" s="1"/>
  <c r="M12" i="12"/>
  <c r="M13" i="12"/>
  <c r="N13" i="12" s="1"/>
  <c r="O13" i="12" s="1"/>
  <c r="M14" i="12"/>
  <c r="M15" i="12"/>
  <c r="M16" i="12"/>
  <c r="M17" i="12"/>
  <c r="N17" i="12" s="1"/>
  <c r="M18" i="12"/>
  <c r="Q18" i="12" s="1"/>
  <c r="M19" i="12"/>
  <c r="Q19" i="12" s="1"/>
  <c r="M20" i="12"/>
  <c r="N20" i="12" s="1"/>
  <c r="O20" i="12" s="1"/>
  <c r="M21" i="12"/>
  <c r="M22" i="12"/>
  <c r="Q22" i="12" s="1"/>
  <c r="M23" i="12"/>
  <c r="P23" i="12" s="1"/>
  <c r="M24" i="12"/>
  <c r="M25" i="12"/>
  <c r="N25" i="12" s="1"/>
  <c r="O25" i="12" s="1"/>
  <c r="M26" i="12"/>
  <c r="Q26" i="12" s="1"/>
  <c r="M27" i="12"/>
  <c r="M28" i="12"/>
  <c r="Q28" i="12" s="1"/>
  <c r="M29" i="12"/>
  <c r="M30" i="12"/>
  <c r="P30" i="12" s="1"/>
  <c r="M31" i="12"/>
  <c r="Q31" i="12" s="1"/>
  <c r="M32" i="12"/>
  <c r="M33" i="12"/>
  <c r="M34" i="12"/>
  <c r="P34" i="12" s="1"/>
  <c r="M35" i="12"/>
  <c r="N35" i="12" s="1"/>
  <c r="M36" i="12"/>
  <c r="P36" i="12" s="1"/>
  <c r="M37" i="12"/>
  <c r="M38" i="12"/>
  <c r="Q38" i="12" s="1"/>
  <c r="M39" i="12"/>
  <c r="P39" i="12" s="1"/>
  <c r="M40" i="12"/>
  <c r="M41" i="12"/>
  <c r="M42" i="12"/>
  <c r="M43" i="12"/>
  <c r="M44" i="12"/>
  <c r="M45" i="12"/>
  <c r="M46" i="12"/>
  <c r="M47" i="12"/>
  <c r="M48" i="12"/>
  <c r="Q48" i="12" s="1"/>
  <c r="M49" i="12"/>
  <c r="Q49" i="12" s="1"/>
  <c r="M50" i="12"/>
  <c r="N50" i="12" s="1"/>
  <c r="M51" i="12"/>
  <c r="M4" i="12"/>
  <c r="P4" i="12" s="1"/>
  <c r="F5" i="12"/>
  <c r="F6" i="12"/>
  <c r="G6" i="12" s="1"/>
  <c r="F7" i="12"/>
  <c r="F8" i="12"/>
  <c r="J8" i="12" s="1"/>
  <c r="F9" i="12"/>
  <c r="F10" i="12"/>
  <c r="G10" i="12" s="1"/>
  <c r="F11" i="12"/>
  <c r="F12" i="12"/>
  <c r="J12" i="12" s="1"/>
  <c r="F13" i="12"/>
  <c r="F14" i="12"/>
  <c r="F15" i="12"/>
  <c r="K15" i="12" s="1"/>
  <c r="F16" i="12"/>
  <c r="F17" i="12"/>
  <c r="J17" i="12" s="1"/>
  <c r="F18" i="12"/>
  <c r="F19" i="12"/>
  <c r="F20" i="12"/>
  <c r="F21" i="12"/>
  <c r="F22" i="12"/>
  <c r="F23" i="12"/>
  <c r="I23" i="12" s="1"/>
  <c r="F24" i="12"/>
  <c r="F25" i="12"/>
  <c r="F26" i="12"/>
  <c r="F27" i="12"/>
  <c r="I27" i="12" s="1"/>
  <c r="F28" i="12"/>
  <c r="J28" i="12" s="1"/>
  <c r="F29" i="12"/>
  <c r="F30" i="12"/>
  <c r="F31" i="12"/>
  <c r="J31" i="12" s="1"/>
  <c r="F32" i="12"/>
  <c r="F33" i="12"/>
  <c r="F34" i="12"/>
  <c r="F35" i="12"/>
  <c r="K35" i="12" s="1"/>
  <c r="F36" i="12"/>
  <c r="J36" i="12" s="1"/>
  <c r="F37" i="12"/>
  <c r="G37" i="12" s="1"/>
  <c r="H37" i="12" s="1"/>
  <c r="F38" i="12"/>
  <c r="F39" i="12"/>
  <c r="I39" i="12" s="1"/>
  <c r="F40" i="12"/>
  <c r="J40" i="12" s="1"/>
  <c r="F41" i="12"/>
  <c r="K41" i="12" s="1"/>
  <c r="F42" i="12"/>
  <c r="I42" i="12" s="1"/>
  <c r="F43" i="12"/>
  <c r="F44" i="12"/>
  <c r="F45" i="12"/>
  <c r="I45" i="12" s="1"/>
  <c r="F46" i="12"/>
  <c r="F47" i="12"/>
  <c r="I47" i="12" s="1"/>
  <c r="F48" i="12"/>
  <c r="F49" i="12"/>
  <c r="I49" i="12" s="1"/>
  <c r="F50" i="12"/>
  <c r="I50" i="12" s="1"/>
  <c r="F51" i="12"/>
  <c r="F4" i="12"/>
  <c r="J4" i="12" s="1"/>
  <c r="AB51" i="12"/>
  <c r="S51" i="12"/>
  <c r="I51" i="12"/>
  <c r="E51" i="12"/>
  <c r="AE50" i="12"/>
  <c r="Q50" i="12"/>
  <c r="J50" i="12"/>
  <c r="E50" i="12"/>
  <c r="E49" i="12"/>
  <c r="E48" i="12"/>
  <c r="E47" i="12"/>
  <c r="AE46" i="12"/>
  <c r="AF46" i="12" s="1"/>
  <c r="AB46" i="12"/>
  <c r="S46" i="12"/>
  <c r="T46" i="12" s="1"/>
  <c r="N46" i="12"/>
  <c r="O46" i="12" s="1"/>
  <c r="E46" i="12"/>
  <c r="E45" i="12"/>
  <c r="E44" i="12"/>
  <c r="AB43" i="12"/>
  <c r="E43" i="12"/>
  <c r="W43" i="12" s="1"/>
  <c r="AB42" i="12"/>
  <c r="AC42" i="12" s="1"/>
  <c r="K42" i="12"/>
  <c r="G42" i="12"/>
  <c r="H42" i="12" s="1"/>
  <c r="E42" i="12"/>
  <c r="W42" i="12" s="1"/>
  <c r="AE41" i="12"/>
  <c r="AF41" i="12" s="1"/>
  <c r="E41" i="12"/>
  <c r="W41" i="12" s="1"/>
  <c r="E40" i="12"/>
  <c r="W40" i="12" s="1"/>
  <c r="Q39" i="12"/>
  <c r="E39" i="12"/>
  <c r="W39" i="12" s="1"/>
  <c r="AB38" i="12"/>
  <c r="S38" i="12"/>
  <c r="N38" i="12"/>
  <c r="K38" i="12"/>
  <c r="J38" i="12"/>
  <c r="E38" i="12"/>
  <c r="W38" i="12" s="1"/>
  <c r="E37" i="12"/>
  <c r="W37" i="12" s="1"/>
  <c r="E36" i="12"/>
  <c r="W36" i="12" s="1"/>
  <c r="AB35" i="12"/>
  <c r="Y35" i="12"/>
  <c r="E35" i="12"/>
  <c r="AE34" i="12"/>
  <c r="Y34" i="12"/>
  <c r="J34" i="12"/>
  <c r="E34" i="12"/>
  <c r="E33" i="12"/>
  <c r="AB32" i="12"/>
  <c r="E32" i="12"/>
  <c r="N31" i="12"/>
  <c r="I31" i="12"/>
  <c r="E31" i="12"/>
  <c r="AE30" i="12"/>
  <c r="Y30" i="12"/>
  <c r="Z30" i="12" s="1"/>
  <c r="J30" i="12"/>
  <c r="I30" i="12"/>
  <c r="E30" i="12"/>
  <c r="AE29" i="12"/>
  <c r="AF29" i="12" s="1"/>
  <c r="E29" i="12"/>
  <c r="E28" i="12"/>
  <c r="AB27" i="12"/>
  <c r="S27" i="12"/>
  <c r="J27" i="12"/>
  <c r="E27" i="12"/>
  <c r="AE26" i="12"/>
  <c r="AB26" i="12"/>
  <c r="P26" i="12"/>
  <c r="E26" i="12"/>
  <c r="E25" i="12"/>
  <c r="E24" i="12"/>
  <c r="AB23" i="12"/>
  <c r="Q23" i="12"/>
  <c r="J23" i="12"/>
  <c r="E23" i="12"/>
  <c r="AE22" i="12"/>
  <c r="AF22" i="12" s="1"/>
  <c r="AB22" i="12"/>
  <c r="AC22" i="12" s="1"/>
  <c r="Y22" i="12"/>
  <c r="Z22" i="12" s="1"/>
  <c r="P22" i="12"/>
  <c r="N22" i="12"/>
  <c r="O22" i="12" s="1"/>
  <c r="I22" i="12"/>
  <c r="E22" i="12"/>
  <c r="S21" i="12"/>
  <c r="T21" i="12" s="1"/>
  <c r="E21" i="12"/>
  <c r="E20" i="12"/>
  <c r="AB19" i="12"/>
  <c r="P19" i="12"/>
  <c r="I19" i="12"/>
  <c r="E19" i="12"/>
  <c r="AE18" i="12"/>
  <c r="Y18" i="12"/>
  <c r="Z18" i="12" s="1"/>
  <c r="S18" i="12"/>
  <c r="P18" i="12"/>
  <c r="K18" i="12"/>
  <c r="I18" i="12"/>
  <c r="G18" i="12"/>
  <c r="E18" i="12"/>
  <c r="E17" i="12"/>
  <c r="E16" i="12"/>
  <c r="E15" i="12"/>
  <c r="AE14" i="12"/>
  <c r="AF14" i="12" s="1"/>
  <c r="Y14" i="12"/>
  <c r="P14" i="12"/>
  <c r="Q14" i="12"/>
  <c r="K14" i="12"/>
  <c r="I14" i="12"/>
  <c r="G14" i="12"/>
  <c r="E14" i="12"/>
  <c r="E13" i="12"/>
  <c r="E12" i="12"/>
  <c r="AE11" i="12"/>
  <c r="AF11" i="12" s="1"/>
  <c r="AB11" i="12"/>
  <c r="AC11" i="12" s="1"/>
  <c r="P11" i="12"/>
  <c r="E11" i="12"/>
  <c r="AE10" i="12"/>
  <c r="AB10" i="12"/>
  <c r="AC10" i="12" s="1"/>
  <c r="Y10" i="12"/>
  <c r="L10" i="12"/>
  <c r="K10" i="12"/>
  <c r="I10" i="12"/>
  <c r="J10" i="12"/>
  <c r="E10" i="12"/>
  <c r="E9" i="12"/>
  <c r="E8" i="12"/>
  <c r="AB7" i="12"/>
  <c r="Y7" i="12"/>
  <c r="V7" i="12"/>
  <c r="E7" i="12"/>
  <c r="AB6" i="12"/>
  <c r="AC6" i="12" s="1"/>
  <c r="Y6" i="12"/>
  <c r="V6" i="12"/>
  <c r="Q6" i="12"/>
  <c r="L6" i="12"/>
  <c r="K6" i="12"/>
  <c r="I6" i="12"/>
  <c r="E6" i="12"/>
  <c r="N5" i="12"/>
  <c r="E5" i="12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E4" i="12"/>
  <c r="AD5" i="11"/>
  <c r="AD6" i="11"/>
  <c r="AE6" i="11" s="1"/>
  <c r="AF6" i="11" s="1"/>
  <c r="AD7" i="11"/>
  <c r="AE7" i="11" s="1"/>
  <c r="AF7" i="11" s="1"/>
  <c r="AD8" i="11"/>
  <c r="AE8" i="11" s="1"/>
  <c r="AF8" i="11" s="1"/>
  <c r="AD9" i="11"/>
  <c r="AD10" i="11"/>
  <c r="AE10" i="11" s="1"/>
  <c r="AF10" i="11" s="1"/>
  <c r="AD11" i="11"/>
  <c r="AE11" i="11" s="1"/>
  <c r="AD12" i="11"/>
  <c r="AE12" i="11" s="1"/>
  <c r="AD13" i="11"/>
  <c r="AD14" i="11"/>
  <c r="AE14" i="11" s="1"/>
  <c r="AD15" i="11"/>
  <c r="AE15" i="11" s="1"/>
  <c r="AD16" i="11"/>
  <c r="AE16" i="11" s="1"/>
  <c r="AD17" i="11"/>
  <c r="AD18" i="11"/>
  <c r="AD19" i="11"/>
  <c r="AE19" i="11" s="1"/>
  <c r="AD20" i="11"/>
  <c r="AE20" i="11" s="1"/>
  <c r="AD21" i="11"/>
  <c r="AD22" i="11"/>
  <c r="AE22" i="11" s="1"/>
  <c r="AD23" i="11"/>
  <c r="AE23" i="11" s="1"/>
  <c r="AD24" i="11"/>
  <c r="AE24" i="11" s="1"/>
  <c r="AD25" i="11"/>
  <c r="AE25" i="11" s="1"/>
  <c r="AF25" i="11" s="1"/>
  <c r="AD26" i="11"/>
  <c r="AE26" i="11" s="1"/>
  <c r="AD27" i="11"/>
  <c r="AE27" i="11" s="1"/>
  <c r="AD28" i="11"/>
  <c r="AE28" i="11" s="1"/>
  <c r="AD29" i="11"/>
  <c r="AE29" i="11" s="1"/>
  <c r="AD30" i="11"/>
  <c r="AE30" i="11" s="1"/>
  <c r="AD31" i="11"/>
  <c r="AE31" i="11" s="1"/>
  <c r="AD32" i="11"/>
  <c r="AE32" i="11" s="1"/>
  <c r="AF32" i="11" s="1"/>
  <c r="AD33" i="11"/>
  <c r="AE33" i="11" s="1"/>
  <c r="AD34" i="11"/>
  <c r="AE34" i="11" s="1"/>
  <c r="AD35" i="11"/>
  <c r="AE35" i="11" s="1"/>
  <c r="AD36" i="11"/>
  <c r="AE36" i="11" s="1"/>
  <c r="AD37" i="11"/>
  <c r="AD38" i="11"/>
  <c r="AE38" i="11" s="1"/>
  <c r="AD39" i="11"/>
  <c r="AE39" i="11" s="1"/>
  <c r="AD40" i="11"/>
  <c r="AE40" i="11" s="1"/>
  <c r="AD41" i="11"/>
  <c r="AE41" i="11" s="1"/>
  <c r="AD42" i="11"/>
  <c r="AE42" i="11" s="1"/>
  <c r="AD43" i="11"/>
  <c r="AE43" i="11" s="1"/>
  <c r="AD44" i="11"/>
  <c r="AE44" i="11" s="1"/>
  <c r="AD45" i="11"/>
  <c r="AD46" i="11"/>
  <c r="AE46" i="11" s="1"/>
  <c r="AD47" i="11"/>
  <c r="AE47" i="11" s="1"/>
  <c r="AD48" i="11"/>
  <c r="AE48" i="11" s="1"/>
  <c r="AD49" i="11"/>
  <c r="AE49" i="11" s="1"/>
  <c r="AD50" i="11"/>
  <c r="AD51" i="11"/>
  <c r="AE51" i="11" s="1"/>
  <c r="AD4" i="11"/>
  <c r="AE4" i="11" s="1"/>
  <c r="AA5" i="11"/>
  <c r="AA6" i="11"/>
  <c r="AA7" i="11"/>
  <c r="AB7" i="11" s="1"/>
  <c r="AA8" i="11"/>
  <c r="AB8" i="11" s="1"/>
  <c r="AC8" i="11" s="1"/>
  <c r="AA9" i="11"/>
  <c r="AB9" i="11" s="1"/>
  <c r="AA10" i="11"/>
  <c r="AA11" i="11"/>
  <c r="AB11" i="11" s="1"/>
  <c r="AA12" i="11"/>
  <c r="AB12" i="11" s="1"/>
  <c r="AA13" i="11"/>
  <c r="AB13" i="11" s="1"/>
  <c r="AA14" i="11"/>
  <c r="AA15" i="11"/>
  <c r="AB15" i="11" s="1"/>
  <c r="AA16" i="11"/>
  <c r="AB16" i="11" s="1"/>
  <c r="AA17" i="11"/>
  <c r="AB17" i="11" s="1"/>
  <c r="AC17" i="11" s="1"/>
  <c r="AA18" i="11"/>
  <c r="AA19" i="11"/>
  <c r="AA20" i="11"/>
  <c r="AB20" i="11" s="1"/>
  <c r="AA21" i="11"/>
  <c r="AA22" i="11"/>
  <c r="AA23" i="11"/>
  <c r="AB23" i="11" s="1"/>
  <c r="AA24" i="11"/>
  <c r="AB24" i="11" s="1"/>
  <c r="AA25" i="11"/>
  <c r="AB25" i="11" s="1"/>
  <c r="AA26" i="11"/>
  <c r="AB26" i="11" s="1"/>
  <c r="AA27" i="11"/>
  <c r="AA28" i="11"/>
  <c r="AB28" i="11" s="1"/>
  <c r="AA29" i="11"/>
  <c r="AA30" i="11"/>
  <c r="AB30" i="11" s="1"/>
  <c r="AA31" i="11"/>
  <c r="AB31" i="11" s="1"/>
  <c r="AA32" i="11"/>
  <c r="AB32" i="11" s="1"/>
  <c r="AA33" i="11"/>
  <c r="AA34" i="11"/>
  <c r="AA35" i="11"/>
  <c r="AB35" i="11" s="1"/>
  <c r="AA36" i="11"/>
  <c r="AB36" i="11" s="1"/>
  <c r="AA37" i="11"/>
  <c r="AB37" i="11" s="1"/>
  <c r="AA38" i="11"/>
  <c r="AB38" i="11" s="1"/>
  <c r="AA39" i="11"/>
  <c r="AB39" i="11" s="1"/>
  <c r="AA40" i="11"/>
  <c r="AB40" i="11" s="1"/>
  <c r="AA41" i="11"/>
  <c r="AA42" i="11"/>
  <c r="AB42" i="11" s="1"/>
  <c r="AA43" i="11"/>
  <c r="AB43" i="11" s="1"/>
  <c r="AA44" i="11"/>
  <c r="AB44" i="11" s="1"/>
  <c r="AA45" i="11"/>
  <c r="AA46" i="11"/>
  <c r="AB46" i="11" s="1"/>
  <c r="AA47" i="11"/>
  <c r="AB47" i="11" s="1"/>
  <c r="AA48" i="11"/>
  <c r="AB48" i="11" s="1"/>
  <c r="AA49" i="11"/>
  <c r="AB49" i="11" s="1"/>
  <c r="AA50" i="11"/>
  <c r="AB50" i="11" s="1"/>
  <c r="AA51" i="11"/>
  <c r="AB51" i="11" s="1"/>
  <c r="AA4" i="11"/>
  <c r="AB4" i="11" s="1"/>
  <c r="X5" i="11"/>
  <c r="Y5" i="11" s="1"/>
  <c r="X6" i="11"/>
  <c r="X7" i="11"/>
  <c r="X8" i="11"/>
  <c r="Y8" i="11" s="1"/>
  <c r="Z8" i="11" s="1"/>
  <c r="X9" i="11"/>
  <c r="X10" i="11"/>
  <c r="X11" i="11"/>
  <c r="Y11" i="11" s="1"/>
  <c r="X12" i="11"/>
  <c r="Y12" i="11" s="1"/>
  <c r="X13" i="11"/>
  <c r="X14" i="11"/>
  <c r="Y14" i="11" s="1"/>
  <c r="X15" i="11"/>
  <c r="X16" i="11"/>
  <c r="Y16" i="11" s="1"/>
  <c r="X17" i="11"/>
  <c r="Y17" i="11" s="1"/>
  <c r="Z17" i="11" s="1"/>
  <c r="X18" i="11"/>
  <c r="Y18" i="11" s="1"/>
  <c r="X19" i="11"/>
  <c r="Y19" i="11" s="1"/>
  <c r="X20" i="11"/>
  <c r="X21" i="11"/>
  <c r="Y21" i="11" s="1"/>
  <c r="Z21" i="11" s="1"/>
  <c r="X22" i="11"/>
  <c r="X23" i="11"/>
  <c r="Y23" i="11" s="1"/>
  <c r="X24" i="11"/>
  <c r="Y24" i="11" s="1"/>
  <c r="Z24" i="11" s="1"/>
  <c r="X25" i="11"/>
  <c r="X26" i="11"/>
  <c r="Y26" i="11" s="1"/>
  <c r="X27" i="11"/>
  <c r="Y27" i="11" s="1"/>
  <c r="X28" i="11"/>
  <c r="Y28" i="11" s="1"/>
  <c r="X29" i="11"/>
  <c r="Y29" i="11" s="1"/>
  <c r="X30" i="11"/>
  <c r="Y30" i="11" s="1"/>
  <c r="X31" i="11"/>
  <c r="Y31" i="11" s="1"/>
  <c r="X32" i="11"/>
  <c r="Y32" i="11" s="1"/>
  <c r="X33" i="11"/>
  <c r="X34" i="11"/>
  <c r="Y34" i="11" s="1"/>
  <c r="X35" i="11"/>
  <c r="Y35" i="11" s="1"/>
  <c r="X36" i="11"/>
  <c r="Y36" i="11" s="1"/>
  <c r="X37" i="11"/>
  <c r="X38" i="11"/>
  <c r="Y38" i="11" s="1"/>
  <c r="X39" i="11"/>
  <c r="Y39" i="11" s="1"/>
  <c r="X40" i="11"/>
  <c r="Y40" i="11" s="1"/>
  <c r="X41" i="11"/>
  <c r="X42" i="11"/>
  <c r="X43" i="11"/>
  <c r="Y43" i="11" s="1"/>
  <c r="X44" i="11"/>
  <c r="Y44" i="11" s="1"/>
  <c r="X45" i="11"/>
  <c r="X46" i="11"/>
  <c r="Y46" i="11" s="1"/>
  <c r="X47" i="11"/>
  <c r="Y47" i="11" s="1"/>
  <c r="X48" i="11"/>
  <c r="X49" i="11"/>
  <c r="X50" i="11"/>
  <c r="Y50" i="11" s="1"/>
  <c r="X51" i="11"/>
  <c r="Y51" i="11" s="1"/>
  <c r="X4" i="11"/>
  <c r="Y4" i="11" s="1"/>
  <c r="U5" i="11"/>
  <c r="V5" i="11" s="1"/>
  <c r="U6" i="11"/>
  <c r="U7" i="11"/>
  <c r="V7" i="11" s="1"/>
  <c r="W7" i="11" s="1"/>
  <c r="U8" i="11"/>
  <c r="V8" i="11" s="1"/>
  <c r="W8" i="11" s="1"/>
  <c r="U9" i="11"/>
  <c r="V9" i="11" s="1"/>
  <c r="U10" i="11"/>
  <c r="V10" i="11" s="1"/>
  <c r="W10" i="11" s="1"/>
  <c r="U11" i="11"/>
  <c r="U12" i="11"/>
  <c r="V12" i="11" s="1"/>
  <c r="U13" i="11"/>
  <c r="V13" i="11" s="1"/>
  <c r="U14" i="11"/>
  <c r="U15" i="11"/>
  <c r="V15" i="11" s="1"/>
  <c r="U16" i="11"/>
  <c r="V16" i="11" s="1"/>
  <c r="U17" i="11"/>
  <c r="U18" i="11"/>
  <c r="U19" i="11"/>
  <c r="V19" i="11" s="1"/>
  <c r="U20" i="11"/>
  <c r="V20" i="11" s="1"/>
  <c r="U21" i="11"/>
  <c r="U22" i="11"/>
  <c r="U23" i="11"/>
  <c r="V23" i="11" s="1"/>
  <c r="U24" i="11"/>
  <c r="V24" i="11" s="1"/>
  <c r="U25" i="11"/>
  <c r="U26" i="11"/>
  <c r="U27" i="11"/>
  <c r="V27" i="11" s="1"/>
  <c r="U28" i="11"/>
  <c r="V28" i="11" s="1"/>
  <c r="U29" i="11"/>
  <c r="U30" i="11"/>
  <c r="U31" i="11"/>
  <c r="V31" i="11" s="1"/>
  <c r="U32" i="11"/>
  <c r="V32" i="11" s="1"/>
  <c r="U33" i="11"/>
  <c r="V33" i="11" s="1"/>
  <c r="U34" i="11"/>
  <c r="V34" i="11" s="1"/>
  <c r="U35" i="11"/>
  <c r="V35" i="11" s="1"/>
  <c r="U36" i="11"/>
  <c r="U37" i="11"/>
  <c r="U38" i="11"/>
  <c r="U39" i="11"/>
  <c r="U40" i="11"/>
  <c r="U41" i="11"/>
  <c r="U42" i="11"/>
  <c r="U43" i="11"/>
  <c r="U44" i="11"/>
  <c r="V44" i="11" s="1"/>
  <c r="U45" i="11"/>
  <c r="V45" i="11" s="1"/>
  <c r="U46" i="11"/>
  <c r="V46" i="11" s="1"/>
  <c r="W46" i="11" s="1"/>
  <c r="U47" i="11"/>
  <c r="V47" i="11" s="1"/>
  <c r="U48" i="11"/>
  <c r="V48" i="11" s="1"/>
  <c r="U49" i="11"/>
  <c r="V49" i="11" s="1"/>
  <c r="U50" i="11"/>
  <c r="V50" i="11" s="1"/>
  <c r="U51" i="11"/>
  <c r="V51" i="11" s="1"/>
  <c r="U4" i="11"/>
  <c r="V4" i="11" s="1"/>
  <c r="R5" i="11"/>
  <c r="R6" i="11"/>
  <c r="S6" i="11" s="1"/>
  <c r="T6" i="11" s="1"/>
  <c r="R7" i="11"/>
  <c r="R8" i="11"/>
  <c r="S8" i="11" s="1"/>
  <c r="T8" i="11" s="1"/>
  <c r="R9" i="11"/>
  <c r="R10" i="11"/>
  <c r="R11" i="11"/>
  <c r="S11" i="11" s="1"/>
  <c r="T11" i="11" s="1"/>
  <c r="R12" i="11"/>
  <c r="S12" i="11" s="1"/>
  <c r="R13" i="11"/>
  <c r="R14" i="11"/>
  <c r="R15" i="11"/>
  <c r="R16" i="11"/>
  <c r="S16" i="11" s="1"/>
  <c r="R17" i="11"/>
  <c r="R18" i="11"/>
  <c r="R19" i="11"/>
  <c r="S19" i="11" s="1"/>
  <c r="R20" i="11"/>
  <c r="S20" i="11" s="1"/>
  <c r="R21" i="11"/>
  <c r="S21" i="11" s="1"/>
  <c r="R22" i="11"/>
  <c r="S22" i="11" s="1"/>
  <c r="R23" i="11"/>
  <c r="S23" i="11" s="1"/>
  <c r="R24" i="11"/>
  <c r="S24" i="11" s="1"/>
  <c r="R25" i="11"/>
  <c r="R26" i="11"/>
  <c r="S26" i="11" s="1"/>
  <c r="R27" i="11"/>
  <c r="S27" i="11" s="1"/>
  <c r="R28" i="11"/>
  <c r="S28" i="11" s="1"/>
  <c r="R29" i="11"/>
  <c r="S29" i="11" s="1"/>
  <c r="R30" i="11"/>
  <c r="S30" i="11" s="1"/>
  <c r="R31" i="11"/>
  <c r="S31" i="11" s="1"/>
  <c r="R32" i="11"/>
  <c r="S32" i="11" s="1"/>
  <c r="R33" i="11"/>
  <c r="S33" i="11" s="1"/>
  <c r="R34" i="11"/>
  <c r="S34" i="11" s="1"/>
  <c r="R35" i="11"/>
  <c r="S35" i="11" s="1"/>
  <c r="R36" i="11"/>
  <c r="R37" i="11"/>
  <c r="S37" i="11" s="1"/>
  <c r="R38" i="11"/>
  <c r="R39" i="11"/>
  <c r="S39" i="11" s="1"/>
  <c r="R40" i="11"/>
  <c r="S40" i="11" s="1"/>
  <c r="R41" i="11"/>
  <c r="R42" i="11"/>
  <c r="S42" i="11" s="1"/>
  <c r="R43" i="11"/>
  <c r="S43" i="11" s="1"/>
  <c r="R44" i="11"/>
  <c r="S44" i="11" s="1"/>
  <c r="R45" i="11"/>
  <c r="S45" i="11" s="1"/>
  <c r="R46" i="11"/>
  <c r="R47" i="11"/>
  <c r="S47" i="11" s="1"/>
  <c r="R48" i="11"/>
  <c r="S48" i="11" s="1"/>
  <c r="T48" i="11" s="1"/>
  <c r="R49" i="11"/>
  <c r="S49" i="11" s="1"/>
  <c r="R50" i="11"/>
  <c r="S50" i="11" s="1"/>
  <c r="R51" i="11"/>
  <c r="S51" i="11" s="1"/>
  <c r="R4" i="11"/>
  <c r="S4" i="11" s="1"/>
  <c r="M5" i="11"/>
  <c r="M6" i="11"/>
  <c r="M7" i="11"/>
  <c r="P7" i="11" s="1"/>
  <c r="M8" i="11"/>
  <c r="M9" i="11"/>
  <c r="P9" i="11" s="1"/>
  <c r="M10" i="11"/>
  <c r="M11" i="11"/>
  <c r="P11" i="11" s="1"/>
  <c r="M12" i="11"/>
  <c r="M13" i="11"/>
  <c r="P13" i="11" s="1"/>
  <c r="M14" i="11"/>
  <c r="M15" i="11"/>
  <c r="M16" i="11"/>
  <c r="M17" i="11"/>
  <c r="P17" i="11" s="1"/>
  <c r="M18" i="11"/>
  <c r="Q18" i="11" s="1"/>
  <c r="M19" i="11"/>
  <c r="M20" i="11"/>
  <c r="N20" i="11" s="1"/>
  <c r="M21" i="11"/>
  <c r="M22" i="11"/>
  <c r="N22" i="11" s="1"/>
  <c r="O22" i="11" s="1"/>
  <c r="M23" i="11"/>
  <c r="M24" i="11"/>
  <c r="N24" i="11" s="1"/>
  <c r="M25" i="11"/>
  <c r="M26" i="11"/>
  <c r="N26" i="11" s="1"/>
  <c r="M27" i="11"/>
  <c r="M28" i="11"/>
  <c r="N28" i="11" s="1"/>
  <c r="M29" i="11"/>
  <c r="M30" i="11"/>
  <c r="M31" i="11"/>
  <c r="M32" i="11"/>
  <c r="N32" i="11" s="1"/>
  <c r="M33" i="11"/>
  <c r="M34" i="11"/>
  <c r="M35" i="11"/>
  <c r="M36" i="11"/>
  <c r="Q36" i="11" s="1"/>
  <c r="M37" i="11"/>
  <c r="M38" i="11"/>
  <c r="N38" i="11" s="1"/>
  <c r="M39" i="11"/>
  <c r="M40" i="11"/>
  <c r="M41" i="11"/>
  <c r="M42" i="11"/>
  <c r="N42" i="11" s="1"/>
  <c r="M43" i="11"/>
  <c r="M44" i="11"/>
  <c r="M45" i="11"/>
  <c r="M46" i="11"/>
  <c r="P46" i="11" s="1"/>
  <c r="M47" i="11"/>
  <c r="M48" i="11"/>
  <c r="Q48" i="11" s="1"/>
  <c r="M49" i="11"/>
  <c r="M50" i="11"/>
  <c r="N50" i="11" s="1"/>
  <c r="M51" i="11"/>
  <c r="M4" i="11"/>
  <c r="N4" i="11" s="1"/>
  <c r="F5" i="11"/>
  <c r="I5" i="11" s="1"/>
  <c r="F6" i="11"/>
  <c r="L6" i="11" s="1"/>
  <c r="F7" i="11"/>
  <c r="F8" i="11"/>
  <c r="F9" i="11"/>
  <c r="L9" i="11" s="1"/>
  <c r="F10" i="11"/>
  <c r="I10" i="11" s="1"/>
  <c r="F11" i="11"/>
  <c r="F12" i="11"/>
  <c r="G12" i="11" s="1"/>
  <c r="F13" i="11"/>
  <c r="I13" i="11" s="1"/>
  <c r="F14" i="11"/>
  <c r="F15" i="11"/>
  <c r="J15" i="11" s="1"/>
  <c r="F16" i="11"/>
  <c r="F17" i="11"/>
  <c r="F18" i="11"/>
  <c r="I18" i="11" s="1"/>
  <c r="F19" i="11"/>
  <c r="J19" i="11" s="1"/>
  <c r="F20" i="11"/>
  <c r="F21" i="11"/>
  <c r="J21" i="11" s="1"/>
  <c r="F22" i="11"/>
  <c r="F23" i="11"/>
  <c r="F24" i="11"/>
  <c r="F25" i="11"/>
  <c r="G25" i="11" s="1"/>
  <c r="H25" i="11" s="1"/>
  <c r="F26" i="11"/>
  <c r="K26" i="11" s="1"/>
  <c r="F27" i="11"/>
  <c r="F28" i="11"/>
  <c r="F29" i="11"/>
  <c r="I29" i="11" s="1"/>
  <c r="F30" i="11"/>
  <c r="F31" i="11"/>
  <c r="F32" i="11"/>
  <c r="F33" i="11"/>
  <c r="F34" i="11"/>
  <c r="K34" i="11" s="1"/>
  <c r="F35" i="11"/>
  <c r="F36" i="11"/>
  <c r="K36" i="11" s="1"/>
  <c r="F37" i="11"/>
  <c r="F38" i="11"/>
  <c r="F39" i="11"/>
  <c r="G39" i="11" s="1"/>
  <c r="F40" i="11"/>
  <c r="F41" i="11"/>
  <c r="F42" i="11"/>
  <c r="F43" i="11"/>
  <c r="F44" i="11"/>
  <c r="F45" i="11"/>
  <c r="K45" i="11" s="1"/>
  <c r="F46" i="11"/>
  <c r="F47" i="11"/>
  <c r="F48" i="11"/>
  <c r="F49" i="11"/>
  <c r="I49" i="11" s="1"/>
  <c r="F50" i="11"/>
  <c r="F51" i="11"/>
  <c r="F4" i="11"/>
  <c r="E51" i="11"/>
  <c r="AE50" i="11"/>
  <c r="Q50" i="11"/>
  <c r="P50" i="11"/>
  <c r="E50" i="11"/>
  <c r="AC49" i="11"/>
  <c r="Y49" i="11"/>
  <c r="K49" i="11"/>
  <c r="E49" i="11"/>
  <c r="Y48" i="11"/>
  <c r="Z48" i="11" s="1"/>
  <c r="E48" i="11"/>
  <c r="E47" i="11"/>
  <c r="S46" i="11"/>
  <c r="Q46" i="11"/>
  <c r="N46" i="11"/>
  <c r="O46" i="11" s="1"/>
  <c r="J46" i="11"/>
  <c r="E46" i="11"/>
  <c r="AE45" i="11"/>
  <c r="AB45" i="11"/>
  <c r="Y45" i="11"/>
  <c r="E45" i="11"/>
  <c r="E44" i="11"/>
  <c r="E43" i="11"/>
  <c r="W43" i="11" s="1"/>
  <c r="Y42" i="11"/>
  <c r="Z42" i="11" s="1"/>
  <c r="P42" i="11"/>
  <c r="J42" i="11"/>
  <c r="E42" i="11"/>
  <c r="W42" i="11" s="1"/>
  <c r="AB41" i="11"/>
  <c r="Y41" i="11"/>
  <c r="S41" i="11"/>
  <c r="E41" i="11"/>
  <c r="W41" i="11" s="1"/>
  <c r="W40" i="11"/>
  <c r="E40" i="11"/>
  <c r="E39" i="11"/>
  <c r="W39" i="11" s="1"/>
  <c r="S38" i="11"/>
  <c r="P38" i="11"/>
  <c r="G38" i="11"/>
  <c r="E38" i="11"/>
  <c r="W38" i="11" s="1"/>
  <c r="AE37" i="11"/>
  <c r="AF37" i="11" s="1"/>
  <c r="Y37" i="11"/>
  <c r="E37" i="11"/>
  <c r="W37" i="11" s="1"/>
  <c r="S36" i="11"/>
  <c r="I36" i="11"/>
  <c r="E36" i="11"/>
  <c r="W36" i="11" s="1"/>
  <c r="E35" i="11"/>
  <c r="AB34" i="11"/>
  <c r="N34" i="11"/>
  <c r="I34" i="11"/>
  <c r="E34" i="11"/>
  <c r="AB33" i="11"/>
  <c r="Y33" i="11"/>
  <c r="K33" i="11"/>
  <c r="I33" i="11"/>
  <c r="E33" i="11"/>
  <c r="E32" i="11"/>
  <c r="E31" i="11"/>
  <c r="V30" i="11"/>
  <c r="N30" i="11"/>
  <c r="O30" i="11" s="1"/>
  <c r="G30" i="11"/>
  <c r="J30" i="11"/>
  <c r="E30" i="11"/>
  <c r="AB29" i="11"/>
  <c r="V29" i="11"/>
  <c r="E29" i="11"/>
  <c r="E28" i="11"/>
  <c r="AB27" i="11"/>
  <c r="E27" i="11"/>
  <c r="V26" i="11"/>
  <c r="I26" i="11"/>
  <c r="E26" i="11"/>
  <c r="Y25" i="11"/>
  <c r="Z25" i="11" s="1"/>
  <c r="V25" i="11"/>
  <c r="W25" i="11" s="1"/>
  <c r="S25" i="11"/>
  <c r="E25" i="11"/>
  <c r="E24" i="11"/>
  <c r="E23" i="11"/>
  <c r="AB22" i="11"/>
  <c r="Y22" i="11"/>
  <c r="Z22" i="11" s="1"/>
  <c r="V22" i="11"/>
  <c r="K22" i="11"/>
  <c r="G22" i="11"/>
  <c r="H22" i="11" s="1"/>
  <c r="E22" i="11"/>
  <c r="AE21" i="11"/>
  <c r="AF21" i="11" s="1"/>
  <c r="AB21" i="11"/>
  <c r="V21" i="11"/>
  <c r="W21" i="11" s="1"/>
  <c r="E21" i="11"/>
  <c r="Y20" i="11"/>
  <c r="E20" i="11"/>
  <c r="AB19" i="11"/>
  <c r="E19" i="11"/>
  <c r="AE18" i="11"/>
  <c r="AF18" i="11" s="1"/>
  <c r="AB18" i="11"/>
  <c r="V18" i="11"/>
  <c r="S18" i="11"/>
  <c r="N18" i="11"/>
  <c r="O18" i="11" s="1"/>
  <c r="P18" i="11"/>
  <c r="E18" i="11"/>
  <c r="AE17" i="11"/>
  <c r="AF17" i="11" s="1"/>
  <c r="V17" i="11"/>
  <c r="W17" i="11" s="1"/>
  <c r="S17" i="11"/>
  <c r="T17" i="11" s="1"/>
  <c r="J17" i="11"/>
  <c r="I17" i="11"/>
  <c r="E17" i="11"/>
  <c r="K16" i="11"/>
  <c r="G16" i="11"/>
  <c r="E16" i="11"/>
  <c r="Y15" i="11"/>
  <c r="S15" i="11"/>
  <c r="E15" i="11"/>
  <c r="AB14" i="11"/>
  <c r="V14" i="11"/>
  <c r="S14" i="11"/>
  <c r="T14" i="11" s="1"/>
  <c r="N14" i="11"/>
  <c r="O14" i="11" s="1"/>
  <c r="L14" i="11"/>
  <c r="E14" i="11"/>
  <c r="AE13" i="11"/>
  <c r="AF13" i="11" s="1"/>
  <c r="Y13" i="11"/>
  <c r="Z13" i="11" s="1"/>
  <c r="S13" i="11"/>
  <c r="T13" i="11" s="1"/>
  <c r="J13" i="11"/>
  <c r="E13" i="11"/>
  <c r="E12" i="11"/>
  <c r="V11" i="11"/>
  <c r="W11" i="11" s="1"/>
  <c r="E11" i="11"/>
  <c r="AB10" i="11"/>
  <c r="AC10" i="11" s="1"/>
  <c r="Y10" i="11"/>
  <c r="Z10" i="11" s="1"/>
  <c r="S10" i="11"/>
  <c r="T10" i="11" s="1"/>
  <c r="P10" i="11"/>
  <c r="J10" i="11"/>
  <c r="E10" i="11"/>
  <c r="AE9" i="11"/>
  <c r="Y9" i="11"/>
  <c r="Z9" i="11" s="1"/>
  <c r="S9" i="11"/>
  <c r="T9" i="11" s="1"/>
  <c r="Q9" i="11"/>
  <c r="E9" i="11"/>
  <c r="E8" i="11"/>
  <c r="Y7" i="11"/>
  <c r="S7" i="11"/>
  <c r="T7" i="11" s="1"/>
  <c r="E7" i="11"/>
  <c r="AB6" i="11"/>
  <c r="AC6" i="11" s="1"/>
  <c r="Y6" i="11"/>
  <c r="Z6" i="11" s="1"/>
  <c r="V6" i="11"/>
  <c r="W6" i="11" s="1"/>
  <c r="P6" i="11"/>
  <c r="I6" i="11"/>
  <c r="E6" i="11"/>
  <c r="AE5" i="11"/>
  <c r="AB5" i="11"/>
  <c r="S5" i="11"/>
  <c r="T5" i="11" s="1"/>
  <c r="N5" i="11"/>
  <c r="E5" i="1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P4" i="11"/>
  <c r="E4" i="11"/>
  <c r="AD5" i="10"/>
  <c r="AE5" i="10" s="1"/>
  <c r="AF5" i="10" s="1"/>
  <c r="AD6" i="10"/>
  <c r="AE6" i="10" s="1"/>
  <c r="AD7" i="10"/>
  <c r="AE7" i="10" s="1"/>
  <c r="AD8" i="10"/>
  <c r="AE8" i="10" s="1"/>
  <c r="AD9" i="10"/>
  <c r="AE9" i="10" s="1"/>
  <c r="AF9" i="10" s="1"/>
  <c r="AD10" i="10"/>
  <c r="AE10" i="10" s="1"/>
  <c r="AF10" i="10" s="1"/>
  <c r="AD11" i="10"/>
  <c r="AE11" i="10" s="1"/>
  <c r="AD12" i="10"/>
  <c r="AE12" i="10" s="1"/>
  <c r="AD13" i="10"/>
  <c r="AE13" i="10" s="1"/>
  <c r="AF13" i="10" s="1"/>
  <c r="AD14" i="10"/>
  <c r="AE14" i="10" s="1"/>
  <c r="AF14" i="10" s="1"/>
  <c r="AD15" i="10"/>
  <c r="AE15" i="10" s="1"/>
  <c r="AD16" i="10"/>
  <c r="AE16" i="10" s="1"/>
  <c r="AD17" i="10"/>
  <c r="AE17" i="10" s="1"/>
  <c r="AF17" i="10" s="1"/>
  <c r="AD18" i="10"/>
  <c r="AE18" i="10" s="1"/>
  <c r="AD19" i="10"/>
  <c r="AE19" i="10" s="1"/>
  <c r="AD20" i="10"/>
  <c r="AD21" i="10"/>
  <c r="AE21" i="10" s="1"/>
  <c r="AF21" i="10" s="1"/>
  <c r="AD22" i="10"/>
  <c r="AE22" i="10" s="1"/>
  <c r="AF22" i="10" s="1"/>
  <c r="AD23" i="10"/>
  <c r="AE23" i="10" s="1"/>
  <c r="AD24" i="10"/>
  <c r="AE24" i="10" s="1"/>
  <c r="AD25" i="10"/>
  <c r="AE25" i="10" s="1"/>
  <c r="AF25" i="10" s="1"/>
  <c r="AD26" i="10"/>
  <c r="AE26" i="10" s="1"/>
  <c r="AF26" i="10" s="1"/>
  <c r="AD27" i="10"/>
  <c r="AD28" i="10"/>
  <c r="AE28" i="10" s="1"/>
  <c r="AD29" i="10"/>
  <c r="AE29" i="10" s="1"/>
  <c r="AF29" i="10" s="1"/>
  <c r="AD30" i="10"/>
  <c r="AE30" i="10" s="1"/>
  <c r="AD31" i="10"/>
  <c r="AE31" i="10" s="1"/>
  <c r="AF31" i="10" s="1"/>
  <c r="AD32" i="10"/>
  <c r="AE32" i="10" s="1"/>
  <c r="AD33" i="10"/>
  <c r="AD34" i="10"/>
  <c r="AE34" i="10" s="1"/>
  <c r="AD35" i="10"/>
  <c r="AE35" i="10" s="1"/>
  <c r="AD36" i="10"/>
  <c r="AE36" i="10" s="1"/>
  <c r="AF36" i="10" s="1"/>
  <c r="AD37" i="10"/>
  <c r="AE37" i="10" s="1"/>
  <c r="AF37" i="10" s="1"/>
  <c r="AD38" i="10"/>
  <c r="AE38" i="10" s="1"/>
  <c r="AF38" i="10" s="1"/>
  <c r="AD39" i="10"/>
  <c r="AE39" i="10" s="1"/>
  <c r="AD40" i="10"/>
  <c r="AD41" i="10"/>
  <c r="AE41" i="10" s="1"/>
  <c r="AF41" i="10" s="1"/>
  <c r="AD42" i="10"/>
  <c r="AE42" i="10" s="1"/>
  <c r="AD43" i="10"/>
  <c r="AE43" i="10" s="1"/>
  <c r="AF43" i="10" s="1"/>
  <c r="AD44" i="10"/>
  <c r="AE44" i="10" s="1"/>
  <c r="AD45" i="10"/>
  <c r="AE45" i="10" s="1"/>
  <c r="AD46" i="10"/>
  <c r="AE46" i="10" s="1"/>
  <c r="AD47" i="10"/>
  <c r="AE47" i="10" s="1"/>
  <c r="AD48" i="10"/>
  <c r="AE48" i="10" s="1"/>
  <c r="AD49" i="10"/>
  <c r="AE49" i="10" s="1"/>
  <c r="AD50" i="10"/>
  <c r="AE50" i="10" s="1"/>
  <c r="AD51" i="10"/>
  <c r="AE51" i="10" s="1"/>
  <c r="AD4" i="10"/>
  <c r="AE4" i="10" s="1"/>
  <c r="AA5" i="10"/>
  <c r="AB5" i="10" s="1"/>
  <c r="AC5" i="10" s="1"/>
  <c r="AA6" i="10"/>
  <c r="AB6" i="10" s="1"/>
  <c r="AA7" i="10"/>
  <c r="AB7" i="10" s="1"/>
  <c r="AA8" i="10"/>
  <c r="AB8" i="10" s="1"/>
  <c r="AA9" i="10"/>
  <c r="AB9" i="10" s="1"/>
  <c r="AC9" i="10" s="1"/>
  <c r="AA10" i="10"/>
  <c r="AB10" i="10" s="1"/>
  <c r="AC10" i="10" s="1"/>
  <c r="AA11" i="10"/>
  <c r="AB11" i="10" s="1"/>
  <c r="AA12" i="10"/>
  <c r="AA13" i="10"/>
  <c r="AB13" i="10" s="1"/>
  <c r="AC13" i="10" s="1"/>
  <c r="AA14" i="10"/>
  <c r="AB14" i="10" s="1"/>
  <c r="AC14" i="10" s="1"/>
  <c r="AA15" i="10"/>
  <c r="AB15" i="10" s="1"/>
  <c r="AA16" i="10"/>
  <c r="AB16" i="10" s="1"/>
  <c r="AC16" i="10" s="1"/>
  <c r="AA17" i="10"/>
  <c r="AB17" i="10" s="1"/>
  <c r="AC17" i="10" s="1"/>
  <c r="AA18" i="10"/>
  <c r="AB18" i="10" s="1"/>
  <c r="AA19" i="10"/>
  <c r="AB19" i="10" s="1"/>
  <c r="AA20" i="10"/>
  <c r="AB20" i="10" s="1"/>
  <c r="AC20" i="10" s="1"/>
  <c r="AA21" i="10"/>
  <c r="AB21" i="10" s="1"/>
  <c r="AC21" i="10" s="1"/>
  <c r="AA22" i="10"/>
  <c r="AB22" i="10" s="1"/>
  <c r="AC22" i="10" s="1"/>
  <c r="AA23" i="10"/>
  <c r="AB23" i="10" s="1"/>
  <c r="AA24" i="10"/>
  <c r="AB24" i="10" s="1"/>
  <c r="AA25" i="10"/>
  <c r="AA26" i="10"/>
  <c r="AB26" i="10" s="1"/>
  <c r="AC26" i="10" s="1"/>
  <c r="AA27" i="10"/>
  <c r="AB27" i="10" s="1"/>
  <c r="AA28" i="10"/>
  <c r="AB28" i="10" s="1"/>
  <c r="AA29" i="10"/>
  <c r="AB29" i="10" s="1"/>
  <c r="AC29" i="10" s="1"/>
  <c r="AA30" i="10"/>
  <c r="AB30" i="10" s="1"/>
  <c r="AA31" i="10"/>
  <c r="AB31" i="10" s="1"/>
  <c r="AC31" i="10" s="1"/>
  <c r="AA32" i="10"/>
  <c r="AB32" i="10" s="1"/>
  <c r="AA33" i="10"/>
  <c r="AB33" i="10" s="1"/>
  <c r="AA34" i="10"/>
  <c r="AB34" i="10" s="1"/>
  <c r="AA35" i="10"/>
  <c r="AB35" i="10" s="1"/>
  <c r="AA36" i="10"/>
  <c r="AB36" i="10" s="1"/>
  <c r="AA37" i="10"/>
  <c r="AB37" i="10" s="1"/>
  <c r="AC37" i="10" s="1"/>
  <c r="AA38" i="10"/>
  <c r="AB38" i="10" s="1"/>
  <c r="AC38" i="10" s="1"/>
  <c r="AA39" i="10"/>
  <c r="AB39" i="10" s="1"/>
  <c r="AA40" i="10"/>
  <c r="AB40" i="10" s="1"/>
  <c r="AA41" i="10"/>
  <c r="AB41" i="10" s="1"/>
  <c r="AC41" i="10" s="1"/>
  <c r="AA42" i="10"/>
  <c r="AA43" i="10"/>
  <c r="AB43" i="10" s="1"/>
  <c r="AC43" i="10" s="1"/>
  <c r="AA44" i="10"/>
  <c r="AB44" i="10" s="1"/>
  <c r="AA45" i="10"/>
  <c r="AB45" i="10" s="1"/>
  <c r="AA46" i="10"/>
  <c r="AB46" i="10" s="1"/>
  <c r="AA47" i="10"/>
  <c r="AA48" i="10"/>
  <c r="AB48" i="10" s="1"/>
  <c r="AA49" i="10"/>
  <c r="AB49" i="10" s="1"/>
  <c r="AA50" i="10"/>
  <c r="AB50" i="10" s="1"/>
  <c r="AA51" i="10"/>
  <c r="AB51" i="10" s="1"/>
  <c r="AA4" i="10"/>
  <c r="AB4" i="10" s="1"/>
  <c r="X5" i="10"/>
  <c r="X6" i="10"/>
  <c r="Y6" i="10" s="1"/>
  <c r="Z6" i="10" s="1"/>
  <c r="X7" i="10"/>
  <c r="Y7" i="10" s="1"/>
  <c r="X8" i="10"/>
  <c r="Y8" i="10" s="1"/>
  <c r="X9" i="10"/>
  <c r="Y9" i="10" s="1"/>
  <c r="Z9" i="10" s="1"/>
  <c r="X10" i="10"/>
  <c r="Y10" i="10" s="1"/>
  <c r="Z10" i="10" s="1"/>
  <c r="X11" i="10"/>
  <c r="Y11" i="10" s="1"/>
  <c r="X12" i="10"/>
  <c r="Y12" i="10" s="1"/>
  <c r="X13" i="10"/>
  <c r="X14" i="10"/>
  <c r="Y14" i="10" s="1"/>
  <c r="Z14" i="10" s="1"/>
  <c r="X15" i="10"/>
  <c r="Y15" i="10" s="1"/>
  <c r="X16" i="10"/>
  <c r="Y16" i="10" s="1"/>
  <c r="Z16" i="10" s="1"/>
  <c r="X17" i="10"/>
  <c r="Y17" i="10" s="1"/>
  <c r="Z17" i="10" s="1"/>
  <c r="X18" i="10"/>
  <c r="Y18" i="10" s="1"/>
  <c r="Z18" i="10" s="1"/>
  <c r="X19" i="10"/>
  <c r="Y19" i="10" s="1"/>
  <c r="X20" i="10"/>
  <c r="Y20" i="10" s="1"/>
  <c r="Z20" i="10" s="1"/>
  <c r="X21" i="10"/>
  <c r="Y21" i="10" s="1"/>
  <c r="Z21" i="10" s="1"/>
  <c r="X22" i="10"/>
  <c r="Y22" i="10" s="1"/>
  <c r="Z22" i="10" s="1"/>
  <c r="X23" i="10"/>
  <c r="Y23" i="10" s="1"/>
  <c r="X24" i="10"/>
  <c r="Y24" i="10" s="1"/>
  <c r="Z24" i="10" s="1"/>
  <c r="X25" i="10"/>
  <c r="Y25" i="10" s="1"/>
  <c r="Z25" i="10" s="1"/>
  <c r="X26" i="10"/>
  <c r="Y26" i="10" s="1"/>
  <c r="Z26" i="10" s="1"/>
  <c r="X27" i="10"/>
  <c r="Y27" i="10" s="1"/>
  <c r="Z27" i="10" s="1"/>
  <c r="X28" i="10"/>
  <c r="Y28" i="10" s="1"/>
  <c r="X29" i="10"/>
  <c r="Y29" i="10" s="1"/>
  <c r="Z29" i="10" s="1"/>
  <c r="X30" i="10"/>
  <c r="Y30" i="10" s="1"/>
  <c r="X31" i="10"/>
  <c r="Y31" i="10" s="1"/>
  <c r="Z31" i="10" s="1"/>
  <c r="X32" i="10"/>
  <c r="Y32" i="10" s="1"/>
  <c r="X33" i="10"/>
  <c r="Y33" i="10" s="1"/>
  <c r="X34" i="10"/>
  <c r="Y34" i="10" s="1"/>
  <c r="X35" i="10"/>
  <c r="Y35" i="10" s="1"/>
  <c r="Z35" i="10" s="1"/>
  <c r="X36" i="10"/>
  <c r="Y36" i="10" s="1"/>
  <c r="X37" i="10"/>
  <c r="Y37" i="10" s="1"/>
  <c r="X38" i="10"/>
  <c r="Y38" i="10" s="1"/>
  <c r="Z38" i="10" s="1"/>
  <c r="X39" i="10"/>
  <c r="Y39" i="10" s="1"/>
  <c r="X40" i="10"/>
  <c r="Y40" i="10" s="1"/>
  <c r="X41" i="10"/>
  <c r="X42" i="10"/>
  <c r="Y42" i="10" s="1"/>
  <c r="Z42" i="10" s="1"/>
  <c r="X43" i="10"/>
  <c r="Y43" i="10" s="1"/>
  <c r="Z43" i="10" s="1"/>
  <c r="X44" i="10"/>
  <c r="Y44" i="10" s="1"/>
  <c r="X45" i="10"/>
  <c r="Y45" i="10" s="1"/>
  <c r="X46" i="10"/>
  <c r="Y46" i="10" s="1"/>
  <c r="Z46" i="10" s="1"/>
  <c r="X47" i="10"/>
  <c r="Y47" i="10" s="1"/>
  <c r="X48" i="10"/>
  <c r="Y48" i="10" s="1"/>
  <c r="X49" i="10"/>
  <c r="X50" i="10"/>
  <c r="Y50" i="10" s="1"/>
  <c r="X51" i="10"/>
  <c r="Y51" i="10" s="1"/>
  <c r="Z51" i="10" s="1"/>
  <c r="X4" i="10"/>
  <c r="Y4" i="10" s="1"/>
  <c r="U5" i="10"/>
  <c r="V5" i="10" s="1"/>
  <c r="W5" i="10" s="1"/>
  <c r="U6" i="10"/>
  <c r="V6" i="10" s="1"/>
  <c r="U7" i="10"/>
  <c r="V7" i="10" s="1"/>
  <c r="U8" i="10"/>
  <c r="V8" i="10" s="1"/>
  <c r="U9" i="10"/>
  <c r="V9" i="10" s="1"/>
  <c r="W9" i="10" s="1"/>
  <c r="U10" i="10"/>
  <c r="V10" i="10" s="1"/>
  <c r="W10" i="10" s="1"/>
  <c r="U11" i="10"/>
  <c r="V11" i="10" s="1"/>
  <c r="U12" i="10"/>
  <c r="V12" i="10" s="1"/>
  <c r="W12" i="10" s="1"/>
  <c r="U13" i="10"/>
  <c r="V13" i="10" s="1"/>
  <c r="W13" i="10" s="1"/>
  <c r="U14" i="10"/>
  <c r="V14" i="10" s="1"/>
  <c r="W14" i="10" s="1"/>
  <c r="U15" i="10"/>
  <c r="V15" i="10" s="1"/>
  <c r="U16" i="10"/>
  <c r="V16" i="10" s="1"/>
  <c r="U17" i="10"/>
  <c r="U18" i="10"/>
  <c r="V18" i="10" s="1"/>
  <c r="U19" i="10"/>
  <c r="V19" i="10" s="1"/>
  <c r="U20" i="10"/>
  <c r="V20" i="10" s="1"/>
  <c r="U21" i="10"/>
  <c r="V21" i="10" s="1"/>
  <c r="W21" i="10" s="1"/>
  <c r="U22" i="10"/>
  <c r="U23" i="10"/>
  <c r="V23" i="10" s="1"/>
  <c r="U24" i="10"/>
  <c r="V24" i="10" s="1"/>
  <c r="W24" i="10" s="1"/>
  <c r="U25" i="10"/>
  <c r="V25" i="10" s="1"/>
  <c r="W25" i="10" s="1"/>
  <c r="U26" i="10"/>
  <c r="V26" i="10" s="1"/>
  <c r="W26" i="10" s="1"/>
  <c r="U27" i="10"/>
  <c r="V27" i="10" s="1"/>
  <c r="W27" i="10" s="1"/>
  <c r="U28" i="10"/>
  <c r="V28" i="10" s="1"/>
  <c r="U29" i="10"/>
  <c r="V29" i="10" s="1"/>
  <c r="W29" i="10" s="1"/>
  <c r="U30" i="10"/>
  <c r="U31" i="10"/>
  <c r="V31" i="10" s="1"/>
  <c r="W31" i="10" s="1"/>
  <c r="U32" i="10"/>
  <c r="V32" i="10" s="1"/>
  <c r="U33" i="10"/>
  <c r="V33" i="10" s="1"/>
  <c r="U34" i="10"/>
  <c r="U35" i="10"/>
  <c r="V35" i="10" s="1"/>
  <c r="W35" i="10" s="1"/>
  <c r="U36" i="10"/>
  <c r="U37" i="10"/>
  <c r="U38" i="10"/>
  <c r="U39" i="10"/>
  <c r="U40" i="10"/>
  <c r="U41" i="10"/>
  <c r="U42" i="10"/>
  <c r="U43" i="10"/>
  <c r="U44" i="10"/>
  <c r="V44" i="10" s="1"/>
  <c r="U45" i="10"/>
  <c r="U46" i="10"/>
  <c r="V46" i="10" s="1"/>
  <c r="U47" i="10"/>
  <c r="V47" i="10" s="1"/>
  <c r="W47" i="10" s="1"/>
  <c r="U48" i="10"/>
  <c r="V48" i="10" s="1"/>
  <c r="U49" i="10"/>
  <c r="V49" i="10" s="1"/>
  <c r="U50" i="10"/>
  <c r="V50" i="10" s="1"/>
  <c r="U51" i="10"/>
  <c r="V51" i="10" s="1"/>
  <c r="U4" i="10"/>
  <c r="V4" i="10" s="1"/>
  <c r="R5" i="10"/>
  <c r="S5" i="10" s="1"/>
  <c r="T5" i="10" s="1"/>
  <c r="R6" i="10"/>
  <c r="R7" i="10"/>
  <c r="S7" i="10" s="1"/>
  <c r="R8" i="10"/>
  <c r="S8" i="10" s="1"/>
  <c r="R9" i="10"/>
  <c r="R10" i="10"/>
  <c r="S10" i="10" s="1"/>
  <c r="T10" i="10" s="1"/>
  <c r="R11" i="10"/>
  <c r="S11" i="10" s="1"/>
  <c r="R12" i="10"/>
  <c r="S12" i="10" s="1"/>
  <c r="R13" i="10"/>
  <c r="S13" i="10" s="1"/>
  <c r="T13" i="10" s="1"/>
  <c r="R14" i="10"/>
  <c r="S14" i="10" s="1"/>
  <c r="T14" i="10" s="1"/>
  <c r="R15" i="10"/>
  <c r="R16" i="10"/>
  <c r="R17" i="10"/>
  <c r="S17" i="10" s="1"/>
  <c r="T17" i="10" s="1"/>
  <c r="R18" i="10"/>
  <c r="S18" i="10" s="1"/>
  <c r="R19" i="10"/>
  <c r="S19" i="10" s="1"/>
  <c r="R20" i="10"/>
  <c r="S20" i="10" s="1"/>
  <c r="R21" i="10"/>
  <c r="R22" i="10"/>
  <c r="S22" i="10" s="1"/>
  <c r="T22" i="10" s="1"/>
  <c r="R23" i="10"/>
  <c r="S23" i="10" s="1"/>
  <c r="R24" i="10"/>
  <c r="S24" i="10" s="1"/>
  <c r="R25" i="10"/>
  <c r="S25" i="10" s="1"/>
  <c r="T25" i="10" s="1"/>
  <c r="R26" i="10"/>
  <c r="S26" i="10" s="1"/>
  <c r="T26" i="10" s="1"/>
  <c r="R27" i="10"/>
  <c r="S27" i="10" s="1"/>
  <c r="T27" i="10" s="1"/>
  <c r="R28" i="10"/>
  <c r="S28" i="10" s="1"/>
  <c r="R29" i="10"/>
  <c r="S29" i="10" s="1"/>
  <c r="T29" i="10" s="1"/>
  <c r="R30" i="10"/>
  <c r="S30" i="10" s="1"/>
  <c r="R31" i="10"/>
  <c r="S31" i="10" s="1"/>
  <c r="T31" i="10" s="1"/>
  <c r="R32" i="10"/>
  <c r="S32" i="10" s="1"/>
  <c r="R33" i="10"/>
  <c r="S33" i="10" s="1"/>
  <c r="R34" i="10"/>
  <c r="S34" i="10" s="1"/>
  <c r="R35" i="10"/>
  <c r="S35" i="10" s="1"/>
  <c r="T35" i="10" s="1"/>
  <c r="R36" i="10"/>
  <c r="S36" i="10" s="1"/>
  <c r="R37" i="10"/>
  <c r="R38" i="10"/>
  <c r="S38" i="10" s="1"/>
  <c r="T38" i="10" s="1"/>
  <c r="R39" i="10"/>
  <c r="S39" i="10" s="1"/>
  <c r="R40" i="10"/>
  <c r="R41" i="10"/>
  <c r="S41" i="10" s="1"/>
  <c r="T41" i="10" s="1"/>
  <c r="R42" i="10"/>
  <c r="S42" i="10" s="1"/>
  <c r="T42" i="10" s="1"/>
  <c r="R43" i="10"/>
  <c r="S43" i="10" s="1"/>
  <c r="T43" i="10" s="1"/>
  <c r="R44" i="10"/>
  <c r="S44" i="10" s="1"/>
  <c r="R45" i="10"/>
  <c r="S45" i="10" s="1"/>
  <c r="R46" i="10"/>
  <c r="S46" i="10" s="1"/>
  <c r="T46" i="10" s="1"/>
  <c r="R47" i="10"/>
  <c r="S47" i="10" s="1"/>
  <c r="R48" i="10"/>
  <c r="S48" i="10" s="1"/>
  <c r="R49" i="10"/>
  <c r="S49" i="10" s="1"/>
  <c r="R50" i="10"/>
  <c r="S50" i="10" s="1"/>
  <c r="R51" i="10"/>
  <c r="S51" i="10" s="1"/>
  <c r="R4" i="10"/>
  <c r="S4" i="10" s="1"/>
  <c r="M5" i="10"/>
  <c r="M6" i="10"/>
  <c r="Q6" i="10" s="1"/>
  <c r="M7" i="10"/>
  <c r="N7" i="10" s="1"/>
  <c r="M8" i="10"/>
  <c r="N8" i="10" s="1"/>
  <c r="M9" i="10"/>
  <c r="M10" i="10"/>
  <c r="N10" i="10" s="1"/>
  <c r="O10" i="10" s="1"/>
  <c r="M11" i="10"/>
  <c r="N11" i="10" s="1"/>
  <c r="M12" i="10"/>
  <c r="M13" i="10"/>
  <c r="M14" i="10"/>
  <c r="M15" i="10"/>
  <c r="N15" i="10" s="1"/>
  <c r="O15" i="10" s="1"/>
  <c r="M16" i="10"/>
  <c r="M17" i="10"/>
  <c r="N17" i="10" s="1"/>
  <c r="O17" i="10" s="1"/>
  <c r="M18" i="10"/>
  <c r="Q18" i="10" s="1"/>
  <c r="M19" i="10"/>
  <c r="P19" i="10" s="1"/>
  <c r="M20" i="10"/>
  <c r="M21" i="10"/>
  <c r="M22" i="10"/>
  <c r="N22" i="10" s="1"/>
  <c r="O22" i="10" s="1"/>
  <c r="M23" i="10"/>
  <c r="N23" i="10" s="1"/>
  <c r="M24" i="10"/>
  <c r="M25" i="10"/>
  <c r="M26" i="10"/>
  <c r="M27" i="10"/>
  <c r="N27" i="10" s="1"/>
  <c r="O27" i="10" s="1"/>
  <c r="M28" i="10"/>
  <c r="Q28" i="10" s="1"/>
  <c r="M29" i="10"/>
  <c r="M30" i="10"/>
  <c r="Q30" i="10" s="1"/>
  <c r="M31" i="10"/>
  <c r="Q31" i="10" s="1"/>
  <c r="M32" i="10"/>
  <c r="M33" i="10"/>
  <c r="M34" i="10"/>
  <c r="M35" i="10"/>
  <c r="Q35" i="10" s="1"/>
  <c r="M36" i="10"/>
  <c r="M37" i="10"/>
  <c r="M38" i="10"/>
  <c r="M39" i="10"/>
  <c r="Q39" i="10" s="1"/>
  <c r="M40" i="10"/>
  <c r="P40" i="10" s="1"/>
  <c r="M41" i="10"/>
  <c r="M42" i="10"/>
  <c r="M43" i="10"/>
  <c r="M44" i="10"/>
  <c r="P44" i="10" s="1"/>
  <c r="M45" i="10"/>
  <c r="Q45" i="10" s="1"/>
  <c r="M46" i="10"/>
  <c r="P46" i="10" s="1"/>
  <c r="M47" i="10"/>
  <c r="M48" i="10"/>
  <c r="M49" i="10"/>
  <c r="M50" i="10"/>
  <c r="M51" i="10"/>
  <c r="M4" i="10"/>
  <c r="N4" i="10" s="1"/>
  <c r="F5" i="10"/>
  <c r="F6" i="10"/>
  <c r="F7" i="10"/>
  <c r="I7" i="10" s="1"/>
  <c r="F8" i="10"/>
  <c r="J8" i="10" s="1"/>
  <c r="F9" i="10"/>
  <c r="F10" i="10"/>
  <c r="L10" i="10" s="1"/>
  <c r="F11" i="10"/>
  <c r="I11" i="10" s="1"/>
  <c r="F12" i="10"/>
  <c r="F13" i="10"/>
  <c r="K13" i="10" s="1"/>
  <c r="F14" i="10"/>
  <c r="L14" i="10" s="1"/>
  <c r="F15" i="10"/>
  <c r="J15" i="10" s="1"/>
  <c r="F16" i="10"/>
  <c r="L16" i="10" s="1"/>
  <c r="F17" i="10"/>
  <c r="F18" i="10"/>
  <c r="J18" i="10" s="1"/>
  <c r="F19" i="10"/>
  <c r="I19" i="10" s="1"/>
  <c r="F20" i="10"/>
  <c r="K20" i="10" s="1"/>
  <c r="F21" i="10"/>
  <c r="J21" i="10" s="1"/>
  <c r="F22" i="10"/>
  <c r="F23" i="10"/>
  <c r="I23" i="10" s="1"/>
  <c r="F24" i="10"/>
  <c r="F25" i="10"/>
  <c r="I25" i="10" s="1"/>
  <c r="F26" i="10"/>
  <c r="F27" i="10"/>
  <c r="F28" i="10"/>
  <c r="J28" i="10" s="1"/>
  <c r="F29" i="10"/>
  <c r="F30" i="10"/>
  <c r="F31" i="10"/>
  <c r="F32" i="10"/>
  <c r="J32" i="10" s="1"/>
  <c r="F33" i="10"/>
  <c r="I33" i="10" s="1"/>
  <c r="F34" i="10"/>
  <c r="F35" i="10"/>
  <c r="F36" i="10"/>
  <c r="G36" i="10" s="1"/>
  <c r="F37" i="10"/>
  <c r="F38" i="10"/>
  <c r="F39" i="10"/>
  <c r="J39" i="10" s="1"/>
  <c r="F40" i="10"/>
  <c r="F41" i="10"/>
  <c r="F42" i="10"/>
  <c r="K42" i="10" s="1"/>
  <c r="F43" i="10"/>
  <c r="K43" i="10" s="1"/>
  <c r="F44" i="10"/>
  <c r="F45" i="10"/>
  <c r="F46" i="10"/>
  <c r="F47" i="10"/>
  <c r="F48" i="10"/>
  <c r="I48" i="10" s="1"/>
  <c r="F49" i="10"/>
  <c r="F50" i="10"/>
  <c r="F51" i="10"/>
  <c r="I51" i="10" s="1"/>
  <c r="F4" i="10"/>
  <c r="G51" i="10"/>
  <c r="H51" i="10" s="1"/>
  <c r="E51" i="10"/>
  <c r="K50" i="10"/>
  <c r="E50" i="10"/>
  <c r="Y49" i="10"/>
  <c r="Z49" i="10" s="1"/>
  <c r="E49" i="10"/>
  <c r="E48" i="10"/>
  <c r="AB47" i="10"/>
  <c r="AC47" i="10" s="1"/>
  <c r="E47" i="10"/>
  <c r="J46" i="10"/>
  <c r="E46" i="10"/>
  <c r="V45" i="10"/>
  <c r="E45" i="10"/>
  <c r="Q44" i="10"/>
  <c r="E44" i="10"/>
  <c r="E43" i="10"/>
  <c r="W43" i="10" s="1"/>
  <c r="AB42" i="10"/>
  <c r="AC42" i="10" s="1"/>
  <c r="E42" i="10"/>
  <c r="W42" i="10" s="1"/>
  <c r="Y41" i="10"/>
  <c r="Z41" i="10" s="1"/>
  <c r="I41" i="10"/>
  <c r="E41" i="10"/>
  <c r="W41" i="10" s="1"/>
  <c r="AE40" i="10"/>
  <c r="S40" i="10"/>
  <c r="E40" i="10"/>
  <c r="G39" i="10"/>
  <c r="H39" i="10" s="1"/>
  <c r="E39" i="10"/>
  <c r="W39" i="10" s="1"/>
  <c r="I38" i="10"/>
  <c r="E38" i="10"/>
  <c r="W38" i="10" s="1"/>
  <c r="W37" i="10"/>
  <c r="S37" i="10"/>
  <c r="T37" i="10" s="1"/>
  <c r="E37" i="10"/>
  <c r="W36" i="10"/>
  <c r="Q36" i="10"/>
  <c r="E36" i="10"/>
  <c r="P35" i="10"/>
  <c r="E35" i="10"/>
  <c r="V34" i="10"/>
  <c r="E34" i="10"/>
  <c r="AE33" i="10"/>
  <c r="J33" i="10"/>
  <c r="E33" i="10"/>
  <c r="E32" i="10"/>
  <c r="E31" i="10"/>
  <c r="V30" i="10"/>
  <c r="E30" i="10"/>
  <c r="Q29" i="10"/>
  <c r="E29" i="10"/>
  <c r="E28" i="10"/>
  <c r="AE27" i="10"/>
  <c r="AF27" i="10" s="1"/>
  <c r="E27" i="10"/>
  <c r="E26" i="10"/>
  <c r="AB25" i="10"/>
  <c r="AC25" i="10" s="1"/>
  <c r="N25" i="10"/>
  <c r="O25" i="10" s="1"/>
  <c r="J25" i="10"/>
  <c r="E25" i="10"/>
  <c r="Q24" i="10"/>
  <c r="E24" i="10"/>
  <c r="J23" i="10"/>
  <c r="E23" i="10"/>
  <c r="V22" i="10"/>
  <c r="W22" i="10" s="1"/>
  <c r="E22" i="10"/>
  <c r="S21" i="10"/>
  <c r="T21" i="10" s="1"/>
  <c r="I21" i="10"/>
  <c r="E21" i="10"/>
  <c r="AE20" i="10"/>
  <c r="AF20" i="10" s="1"/>
  <c r="E20" i="10"/>
  <c r="E19" i="10"/>
  <c r="I18" i="10"/>
  <c r="E18" i="10"/>
  <c r="V17" i="10"/>
  <c r="W17" i="10" s="1"/>
  <c r="E17" i="10"/>
  <c r="S16" i="10"/>
  <c r="T16" i="10" s="1"/>
  <c r="E16" i="10"/>
  <c r="S15" i="10"/>
  <c r="T15" i="10" s="1"/>
  <c r="E15" i="10"/>
  <c r="E14" i="10"/>
  <c r="Y13" i="10"/>
  <c r="Z13" i="10" s="1"/>
  <c r="L13" i="10"/>
  <c r="E13" i="10"/>
  <c r="AB12" i="10"/>
  <c r="E12" i="10"/>
  <c r="K11" i="10"/>
  <c r="E11" i="10"/>
  <c r="Q10" i="10"/>
  <c r="E10" i="10"/>
  <c r="S9" i="10"/>
  <c r="T9" i="10" s="1"/>
  <c r="K9" i="10"/>
  <c r="I9" i="10"/>
  <c r="E9" i="10"/>
  <c r="I8" i="10"/>
  <c r="E8" i="10"/>
  <c r="E7" i="10"/>
  <c r="S6" i="10"/>
  <c r="L6" i="10"/>
  <c r="E6" i="10"/>
  <c r="Y5" i="10"/>
  <c r="Z5" i="10" s="1"/>
  <c r="L5" i="10"/>
  <c r="I5" i="10"/>
  <c r="E5" i="10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P4" i="10"/>
  <c r="E4" i="10"/>
  <c r="AD5" i="9"/>
  <c r="AE5" i="9" s="1"/>
  <c r="AF5" i="9" s="1"/>
  <c r="AD6" i="9"/>
  <c r="AD7" i="9"/>
  <c r="AE7" i="9" s="1"/>
  <c r="AF7" i="9" s="1"/>
  <c r="AD8" i="9"/>
  <c r="AE8" i="9" s="1"/>
  <c r="AD9" i="9"/>
  <c r="AD10" i="9"/>
  <c r="AE10" i="9" s="1"/>
  <c r="AD11" i="9"/>
  <c r="AE11" i="9" s="1"/>
  <c r="AD12" i="9"/>
  <c r="AE12" i="9" s="1"/>
  <c r="AD13" i="9"/>
  <c r="AD14" i="9"/>
  <c r="AE14" i="9" s="1"/>
  <c r="AD15" i="9"/>
  <c r="AE15" i="9" s="1"/>
  <c r="AD16" i="9"/>
  <c r="AE16" i="9" s="1"/>
  <c r="AD17" i="9"/>
  <c r="AE17" i="9" s="1"/>
  <c r="AD18" i="9"/>
  <c r="AE18" i="9" s="1"/>
  <c r="AD19" i="9"/>
  <c r="AE19" i="9" s="1"/>
  <c r="AD20" i="9"/>
  <c r="AD21" i="9"/>
  <c r="AD22" i="9"/>
  <c r="AE22" i="9" s="1"/>
  <c r="AD23" i="9"/>
  <c r="AE23" i="9" s="1"/>
  <c r="AD24" i="9"/>
  <c r="AD25" i="9"/>
  <c r="AE25" i="9" s="1"/>
  <c r="AD26" i="9"/>
  <c r="AE26" i="9" s="1"/>
  <c r="AF26" i="9" s="1"/>
  <c r="AD27" i="9"/>
  <c r="AE27" i="9" s="1"/>
  <c r="AD28" i="9"/>
  <c r="AE28" i="9" s="1"/>
  <c r="AD29" i="9"/>
  <c r="AE29" i="9" s="1"/>
  <c r="AD30" i="9"/>
  <c r="AE30" i="9" s="1"/>
  <c r="AD31" i="9"/>
  <c r="AE31" i="9" s="1"/>
  <c r="AD32" i="9"/>
  <c r="AD33" i="9"/>
  <c r="AD34" i="9"/>
  <c r="AE34" i="9" s="1"/>
  <c r="AF34" i="9" s="1"/>
  <c r="AD35" i="9"/>
  <c r="AE35" i="9" s="1"/>
  <c r="AD36" i="9"/>
  <c r="AE36" i="9" s="1"/>
  <c r="AD37" i="9"/>
  <c r="AE37" i="9" s="1"/>
  <c r="AD38" i="9"/>
  <c r="AD39" i="9"/>
  <c r="AE39" i="9" s="1"/>
  <c r="AD40" i="9"/>
  <c r="AD41" i="9"/>
  <c r="AE41" i="9" s="1"/>
  <c r="AF41" i="9" s="1"/>
  <c r="AD42" i="9"/>
  <c r="AD43" i="9"/>
  <c r="AE43" i="9" s="1"/>
  <c r="AF43" i="9" s="1"/>
  <c r="AD44" i="9"/>
  <c r="AE44" i="9" s="1"/>
  <c r="AD45" i="9"/>
  <c r="AE45" i="9" s="1"/>
  <c r="AF45" i="9" s="1"/>
  <c r="AD46" i="9"/>
  <c r="AE46" i="9" s="1"/>
  <c r="AD47" i="9"/>
  <c r="AE47" i="9" s="1"/>
  <c r="AD48" i="9"/>
  <c r="AE48" i="9" s="1"/>
  <c r="AD49" i="9"/>
  <c r="AE49" i="9" s="1"/>
  <c r="AD50" i="9"/>
  <c r="AD51" i="9"/>
  <c r="AE51" i="9" s="1"/>
  <c r="AD4" i="9"/>
  <c r="AA5" i="9"/>
  <c r="AA6" i="9"/>
  <c r="AB6" i="9" s="1"/>
  <c r="AA7" i="9"/>
  <c r="AB7" i="9" s="1"/>
  <c r="AA8" i="9"/>
  <c r="AA9" i="9"/>
  <c r="AB9" i="9" s="1"/>
  <c r="AC9" i="9" s="1"/>
  <c r="AA10" i="9"/>
  <c r="AB10" i="9" s="1"/>
  <c r="AA11" i="9"/>
  <c r="AB11" i="9" s="1"/>
  <c r="AA12" i="9"/>
  <c r="AA13" i="9"/>
  <c r="AB13" i="9" s="1"/>
  <c r="AC13" i="9" s="1"/>
  <c r="AA14" i="9"/>
  <c r="AA15" i="9"/>
  <c r="AB15" i="9" s="1"/>
  <c r="AA16" i="9"/>
  <c r="AA17" i="9"/>
  <c r="AB17" i="9" s="1"/>
  <c r="AA18" i="9"/>
  <c r="AA19" i="9"/>
  <c r="AB19" i="9" s="1"/>
  <c r="AA20" i="9"/>
  <c r="AA21" i="9"/>
  <c r="AB21" i="9" s="1"/>
  <c r="AA22" i="9"/>
  <c r="AA23" i="9"/>
  <c r="AB23" i="9" s="1"/>
  <c r="AA24" i="9"/>
  <c r="AA25" i="9"/>
  <c r="AB25" i="9" s="1"/>
  <c r="AA26" i="9"/>
  <c r="AA27" i="9"/>
  <c r="AB27" i="9" s="1"/>
  <c r="AA28" i="9"/>
  <c r="AA29" i="9"/>
  <c r="AB29" i="9" s="1"/>
  <c r="AA30" i="9"/>
  <c r="AB30" i="9" s="1"/>
  <c r="AA31" i="9"/>
  <c r="AB31" i="9" s="1"/>
  <c r="AA32" i="9"/>
  <c r="AA33" i="9"/>
  <c r="AB33" i="9" s="1"/>
  <c r="AC33" i="9" s="1"/>
  <c r="AA34" i="9"/>
  <c r="AA35" i="9"/>
  <c r="AB35" i="9" s="1"/>
  <c r="AC35" i="9" s="1"/>
  <c r="AA36" i="9"/>
  <c r="AA37" i="9"/>
  <c r="AB37" i="9" s="1"/>
  <c r="AC37" i="9" s="1"/>
  <c r="AA38" i="9"/>
  <c r="AB38" i="9" s="1"/>
  <c r="AA39" i="9"/>
  <c r="AB39" i="9" s="1"/>
  <c r="AA40" i="9"/>
  <c r="AA41" i="9"/>
  <c r="AA42" i="9"/>
  <c r="AA43" i="9"/>
  <c r="AB43" i="9" s="1"/>
  <c r="AC43" i="9" s="1"/>
  <c r="AA44" i="9"/>
  <c r="AA45" i="9"/>
  <c r="AB45" i="9" s="1"/>
  <c r="AA46" i="9"/>
  <c r="AB46" i="9" s="1"/>
  <c r="AA47" i="9"/>
  <c r="AB47" i="9" s="1"/>
  <c r="AA48" i="9"/>
  <c r="AA49" i="9"/>
  <c r="AB49" i="9" s="1"/>
  <c r="AA50" i="9"/>
  <c r="AB50" i="9" s="1"/>
  <c r="AA51" i="9"/>
  <c r="AA4" i="9"/>
  <c r="X5" i="9"/>
  <c r="Y5" i="9" s="1"/>
  <c r="Z5" i="9" s="1"/>
  <c r="X6" i="9"/>
  <c r="X7" i="9"/>
  <c r="X8" i="9"/>
  <c r="Y8" i="9" s="1"/>
  <c r="X9" i="9"/>
  <c r="Y9" i="9" s="1"/>
  <c r="Z9" i="9" s="1"/>
  <c r="X10" i="9"/>
  <c r="X11" i="9"/>
  <c r="Y11" i="9" s="1"/>
  <c r="X12" i="9"/>
  <c r="Y12" i="9" s="1"/>
  <c r="X13" i="9"/>
  <c r="Y13" i="9" s="1"/>
  <c r="Z13" i="9" s="1"/>
  <c r="X14" i="9"/>
  <c r="X15" i="9"/>
  <c r="Y15" i="9" s="1"/>
  <c r="X16" i="9"/>
  <c r="X17" i="9"/>
  <c r="Y17" i="9" s="1"/>
  <c r="X18" i="9"/>
  <c r="Y18" i="9" s="1"/>
  <c r="X19" i="9"/>
  <c r="Y19" i="9" s="1"/>
  <c r="X20" i="9"/>
  <c r="Y20" i="9" s="1"/>
  <c r="X21" i="9"/>
  <c r="Y21" i="9" s="1"/>
  <c r="X22" i="9"/>
  <c r="Y22" i="9" s="1"/>
  <c r="Z22" i="9" s="1"/>
  <c r="X23" i="9"/>
  <c r="Y23" i="9" s="1"/>
  <c r="Z23" i="9" s="1"/>
  <c r="X24" i="9"/>
  <c r="Y24" i="9" s="1"/>
  <c r="X25" i="9"/>
  <c r="Y25" i="9" s="1"/>
  <c r="X26" i="9"/>
  <c r="X27" i="9"/>
  <c r="Y27" i="9" s="1"/>
  <c r="X28" i="9"/>
  <c r="Y28" i="9" s="1"/>
  <c r="X29" i="9"/>
  <c r="Y29" i="9" s="1"/>
  <c r="X30" i="9"/>
  <c r="Y30" i="9" s="1"/>
  <c r="Z30" i="9" s="1"/>
  <c r="X31" i="9"/>
  <c r="Y31" i="9" s="1"/>
  <c r="X32" i="9"/>
  <c r="Y32" i="9" s="1"/>
  <c r="X33" i="9"/>
  <c r="Y33" i="9" s="1"/>
  <c r="Z33" i="9" s="1"/>
  <c r="X34" i="9"/>
  <c r="Y34" i="9" s="1"/>
  <c r="Z34" i="9" s="1"/>
  <c r="X35" i="9"/>
  <c r="X36" i="9"/>
  <c r="Y36" i="9" s="1"/>
  <c r="X37" i="9"/>
  <c r="Y37" i="9" s="1"/>
  <c r="X38" i="9"/>
  <c r="X39" i="9"/>
  <c r="Y39" i="9" s="1"/>
  <c r="X40" i="9"/>
  <c r="Y40" i="9" s="1"/>
  <c r="X41" i="9"/>
  <c r="Y41" i="9" s="1"/>
  <c r="Z41" i="9" s="1"/>
  <c r="X42" i="9"/>
  <c r="Y42" i="9" s="1"/>
  <c r="Z42" i="9" s="1"/>
  <c r="X43" i="9"/>
  <c r="Y43" i="9" s="1"/>
  <c r="Z43" i="9" s="1"/>
  <c r="X44" i="9"/>
  <c r="X45" i="9"/>
  <c r="Y45" i="9" s="1"/>
  <c r="X46" i="9"/>
  <c r="Y46" i="9" s="1"/>
  <c r="X47" i="9"/>
  <c r="X48" i="9"/>
  <c r="Y48" i="9" s="1"/>
  <c r="X49" i="9"/>
  <c r="Y49" i="9" s="1"/>
  <c r="X50" i="9"/>
  <c r="X51" i="9"/>
  <c r="Y51" i="9" s="1"/>
  <c r="Z51" i="9" s="1"/>
  <c r="X4" i="9"/>
  <c r="U5" i="9"/>
  <c r="V5" i="9" s="1"/>
  <c r="W5" i="9" s="1"/>
  <c r="U6" i="9"/>
  <c r="V6" i="9" s="1"/>
  <c r="U7" i="9"/>
  <c r="V7" i="9" s="1"/>
  <c r="U8" i="9"/>
  <c r="U9" i="9"/>
  <c r="V9" i="9" s="1"/>
  <c r="W9" i="9" s="1"/>
  <c r="U10" i="9"/>
  <c r="U11" i="9"/>
  <c r="V11" i="9" s="1"/>
  <c r="U12" i="9"/>
  <c r="U13" i="9"/>
  <c r="V13" i="9" s="1"/>
  <c r="W13" i="9" s="1"/>
  <c r="U14" i="9"/>
  <c r="V14" i="9" s="1"/>
  <c r="U15" i="9"/>
  <c r="V15" i="9" s="1"/>
  <c r="U16" i="9"/>
  <c r="U17" i="9"/>
  <c r="V17" i="9" s="1"/>
  <c r="U18" i="9"/>
  <c r="V18" i="9" s="1"/>
  <c r="U19" i="9"/>
  <c r="V19" i="9" s="1"/>
  <c r="U20" i="9"/>
  <c r="U21" i="9"/>
  <c r="V21" i="9" s="1"/>
  <c r="U22" i="9"/>
  <c r="U23" i="9"/>
  <c r="V23" i="9" s="1"/>
  <c r="U24" i="9"/>
  <c r="U25" i="9"/>
  <c r="V25" i="9" s="1"/>
  <c r="U26" i="9"/>
  <c r="V26" i="9" s="1"/>
  <c r="W26" i="9" s="1"/>
  <c r="U27" i="9"/>
  <c r="V27" i="9" s="1"/>
  <c r="U28" i="9"/>
  <c r="U29" i="9"/>
  <c r="V29" i="9" s="1"/>
  <c r="U30" i="9"/>
  <c r="V30" i="9" s="1"/>
  <c r="U31" i="9"/>
  <c r="U32" i="9"/>
  <c r="U33" i="9"/>
  <c r="V33" i="9" s="1"/>
  <c r="W33" i="9" s="1"/>
  <c r="U34" i="9"/>
  <c r="U35" i="9"/>
  <c r="V35" i="9" s="1"/>
  <c r="U36" i="9"/>
  <c r="U37" i="9"/>
  <c r="U38" i="9"/>
  <c r="U39" i="9"/>
  <c r="U40" i="9"/>
  <c r="U41" i="9"/>
  <c r="U42" i="9"/>
  <c r="U43" i="9"/>
  <c r="U44" i="9"/>
  <c r="U45" i="9"/>
  <c r="V45" i="9" s="1"/>
  <c r="U46" i="9"/>
  <c r="V46" i="9" s="1"/>
  <c r="U47" i="9"/>
  <c r="V47" i="9" s="1"/>
  <c r="U48" i="9"/>
  <c r="U49" i="9"/>
  <c r="V49" i="9" s="1"/>
  <c r="U50" i="9"/>
  <c r="V50" i="9" s="1"/>
  <c r="U51" i="9"/>
  <c r="V51" i="9" s="1"/>
  <c r="W51" i="9" s="1"/>
  <c r="U4" i="9"/>
  <c r="R5" i="9"/>
  <c r="S5" i="9" s="1"/>
  <c r="T5" i="9" s="1"/>
  <c r="R6" i="9"/>
  <c r="S6" i="9" s="1"/>
  <c r="R7" i="9"/>
  <c r="S7" i="9" s="1"/>
  <c r="T7" i="9" s="1"/>
  <c r="R8" i="9"/>
  <c r="R9" i="9"/>
  <c r="S9" i="9" s="1"/>
  <c r="T9" i="9" s="1"/>
  <c r="R10" i="9"/>
  <c r="R11" i="9"/>
  <c r="S11" i="9" s="1"/>
  <c r="R12" i="9"/>
  <c r="R13" i="9"/>
  <c r="S13" i="9" s="1"/>
  <c r="T13" i="9" s="1"/>
  <c r="R14" i="9"/>
  <c r="R15" i="9"/>
  <c r="S15" i="9" s="1"/>
  <c r="T15" i="9" s="1"/>
  <c r="R16" i="9"/>
  <c r="S16" i="9" s="1"/>
  <c r="R17" i="9"/>
  <c r="S17" i="9" s="1"/>
  <c r="R18" i="9"/>
  <c r="S18" i="9" s="1"/>
  <c r="R19" i="9"/>
  <c r="S19" i="9" s="1"/>
  <c r="R20" i="9"/>
  <c r="S20" i="9" s="1"/>
  <c r="R21" i="9"/>
  <c r="S21" i="9" s="1"/>
  <c r="R22" i="9"/>
  <c r="S22" i="9" s="1"/>
  <c r="T22" i="9" s="1"/>
  <c r="R23" i="9"/>
  <c r="R24" i="9"/>
  <c r="S24" i="9" s="1"/>
  <c r="R25" i="9"/>
  <c r="S25" i="9" s="1"/>
  <c r="T25" i="9" s="1"/>
  <c r="R26" i="9"/>
  <c r="S26" i="9" s="1"/>
  <c r="T26" i="9" s="1"/>
  <c r="R27" i="9"/>
  <c r="S27" i="9" s="1"/>
  <c r="R28" i="9"/>
  <c r="S28" i="9" s="1"/>
  <c r="R29" i="9"/>
  <c r="R30" i="9"/>
  <c r="S30" i="9" s="1"/>
  <c r="R31" i="9"/>
  <c r="S31" i="9" s="1"/>
  <c r="R32" i="9"/>
  <c r="R33" i="9"/>
  <c r="S33" i="9" s="1"/>
  <c r="T33" i="9" s="1"/>
  <c r="R34" i="9"/>
  <c r="S34" i="9" s="1"/>
  <c r="T34" i="9" s="1"/>
  <c r="R35" i="9"/>
  <c r="S35" i="9" s="1"/>
  <c r="T35" i="9" s="1"/>
  <c r="R36" i="9"/>
  <c r="R37" i="9"/>
  <c r="R38" i="9"/>
  <c r="S38" i="9" s="1"/>
  <c r="R39" i="9"/>
  <c r="S39" i="9" s="1"/>
  <c r="R40" i="9"/>
  <c r="S40" i="9" s="1"/>
  <c r="R41" i="9"/>
  <c r="S41" i="9" s="1"/>
  <c r="T41" i="9" s="1"/>
  <c r="R42" i="9"/>
  <c r="S42" i="9" s="1"/>
  <c r="T42" i="9" s="1"/>
  <c r="R43" i="9"/>
  <c r="R44" i="9"/>
  <c r="R45" i="9"/>
  <c r="S45" i="9" s="1"/>
  <c r="R46" i="9"/>
  <c r="S46" i="9" s="1"/>
  <c r="R47" i="9"/>
  <c r="S47" i="9" s="1"/>
  <c r="R48" i="9"/>
  <c r="R49" i="9"/>
  <c r="S49" i="9" s="1"/>
  <c r="R50" i="9"/>
  <c r="S50" i="9" s="1"/>
  <c r="R51" i="9"/>
  <c r="R4" i="9"/>
  <c r="M5" i="9"/>
  <c r="N5" i="9" s="1"/>
  <c r="O5" i="9" s="1"/>
  <c r="M6" i="9"/>
  <c r="N6" i="9" s="1"/>
  <c r="M7" i="9"/>
  <c r="N7" i="9" s="1"/>
  <c r="M8" i="9"/>
  <c r="M9" i="9"/>
  <c r="Q9" i="9" s="1"/>
  <c r="M10" i="9"/>
  <c r="P10" i="9" s="1"/>
  <c r="M11" i="9"/>
  <c r="N11" i="9" s="1"/>
  <c r="M12" i="9"/>
  <c r="M13" i="9"/>
  <c r="M14" i="9"/>
  <c r="M15" i="9"/>
  <c r="N15" i="9" s="1"/>
  <c r="M16" i="9"/>
  <c r="M17" i="9"/>
  <c r="M18" i="9"/>
  <c r="M19" i="9"/>
  <c r="P19" i="9" s="1"/>
  <c r="M20" i="9"/>
  <c r="M21" i="9"/>
  <c r="M22" i="9"/>
  <c r="N22" i="9" s="1"/>
  <c r="O22" i="9" s="1"/>
  <c r="M23" i="9"/>
  <c r="M24" i="9"/>
  <c r="M25" i="9"/>
  <c r="Q25" i="9" s="1"/>
  <c r="M26" i="9"/>
  <c r="M27" i="9"/>
  <c r="P27" i="9" s="1"/>
  <c r="M28" i="9"/>
  <c r="M29" i="9"/>
  <c r="M30" i="9"/>
  <c r="M31" i="9"/>
  <c r="M32" i="9"/>
  <c r="M33" i="9"/>
  <c r="M34" i="9"/>
  <c r="Q34" i="9" s="1"/>
  <c r="M35" i="9"/>
  <c r="M36" i="9"/>
  <c r="M37" i="9"/>
  <c r="M38" i="9"/>
  <c r="N38" i="9" s="1"/>
  <c r="M39" i="9"/>
  <c r="M40" i="9"/>
  <c r="M41" i="9"/>
  <c r="M42" i="9"/>
  <c r="P42" i="9" s="1"/>
  <c r="M43" i="9"/>
  <c r="M44" i="9"/>
  <c r="M45" i="9"/>
  <c r="M46" i="9"/>
  <c r="P46" i="9" s="1"/>
  <c r="M47" i="9"/>
  <c r="N47" i="9" s="1"/>
  <c r="M48" i="9"/>
  <c r="M49" i="9"/>
  <c r="M50" i="9"/>
  <c r="M51" i="9"/>
  <c r="N51" i="9" s="1"/>
  <c r="O51" i="9" s="1"/>
  <c r="M4" i="9"/>
  <c r="F5" i="9"/>
  <c r="K5" i="9" s="1"/>
  <c r="F6" i="9"/>
  <c r="J6" i="9" s="1"/>
  <c r="F7" i="9"/>
  <c r="I7" i="9" s="1"/>
  <c r="F8" i="9"/>
  <c r="G8" i="9" s="1"/>
  <c r="F9" i="9"/>
  <c r="K9" i="9" s="1"/>
  <c r="F10" i="9"/>
  <c r="F11" i="9"/>
  <c r="F12" i="9"/>
  <c r="L12" i="9" s="1"/>
  <c r="F13" i="9"/>
  <c r="K13" i="9" s="1"/>
  <c r="F14" i="9"/>
  <c r="F15" i="9"/>
  <c r="L15" i="9" s="1"/>
  <c r="F16" i="9"/>
  <c r="I16" i="9" s="1"/>
  <c r="F17" i="9"/>
  <c r="K17" i="9" s="1"/>
  <c r="F18" i="9"/>
  <c r="F19" i="9"/>
  <c r="J19" i="9" s="1"/>
  <c r="F20" i="9"/>
  <c r="I20" i="9" s="1"/>
  <c r="F21" i="9"/>
  <c r="J21" i="9" s="1"/>
  <c r="F22" i="9"/>
  <c r="F23" i="9"/>
  <c r="J23" i="9" s="1"/>
  <c r="F24" i="9"/>
  <c r="K24" i="9" s="1"/>
  <c r="F25" i="9"/>
  <c r="K25" i="9" s="1"/>
  <c r="F26" i="9"/>
  <c r="I26" i="9" s="1"/>
  <c r="F27" i="9"/>
  <c r="K27" i="9" s="1"/>
  <c r="F28" i="9"/>
  <c r="F29" i="9"/>
  <c r="I29" i="9" s="1"/>
  <c r="F30" i="9"/>
  <c r="J30" i="9" s="1"/>
  <c r="F31" i="9"/>
  <c r="F32" i="9"/>
  <c r="F33" i="9"/>
  <c r="I33" i="9" s="1"/>
  <c r="F34" i="9"/>
  <c r="F35" i="9"/>
  <c r="K35" i="9" s="1"/>
  <c r="F36" i="9"/>
  <c r="J36" i="9" s="1"/>
  <c r="F37" i="9"/>
  <c r="K37" i="9" s="1"/>
  <c r="F38" i="9"/>
  <c r="F39" i="9"/>
  <c r="I39" i="9" s="1"/>
  <c r="F40" i="9"/>
  <c r="F41" i="9"/>
  <c r="J41" i="9" s="1"/>
  <c r="F42" i="9"/>
  <c r="F43" i="9"/>
  <c r="F44" i="9"/>
  <c r="F45" i="9"/>
  <c r="J45" i="9" s="1"/>
  <c r="F46" i="9"/>
  <c r="J46" i="9" s="1"/>
  <c r="F47" i="9"/>
  <c r="F48" i="9"/>
  <c r="F49" i="9"/>
  <c r="F50" i="9"/>
  <c r="F51" i="9"/>
  <c r="F4" i="9"/>
  <c r="AB51" i="9"/>
  <c r="S51" i="9"/>
  <c r="E51" i="9"/>
  <c r="AE50" i="9"/>
  <c r="Y50" i="9"/>
  <c r="E50" i="9"/>
  <c r="E49" i="9"/>
  <c r="AB48" i="9"/>
  <c r="V48" i="9"/>
  <c r="S48" i="9"/>
  <c r="N48" i="9"/>
  <c r="O48" i="9" s="1"/>
  <c r="P48" i="9"/>
  <c r="E48" i="9"/>
  <c r="Y47" i="9"/>
  <c r="E47" i="9"/>
  <c r="I46" i="9"/>
  <c r="E46" i="9"/>
  <c r="E45" i="9"/>
  <c r="AB44" i="9"/>
  <c r="Y44" i="9"/>
  <c r="V44" i="9"/>
  <c r="W44" i="9" s="1"/>
  <c r="S44" i="9"/>
  <c r="N44" i="9"/>
  <c r="P44" i="9"/>
  <c r="E44" i="9"/>
  <c r="W43" i="9"/>
  <c r="S43" i="9"/>
  <c r="E43" i="9"/>
  <c r="AE42" i="9"/>
  <c r="AF42" i="9" s="1"/>
  <c r="AB42" i="9"/>
  <c r="AC42" i="9" s="1"/>
  <c r="I42" i="9"/>
  <c r="G42" i="9"/>
  <c r="H42" i="9" s="1"/>
  <c r="E42" i="9"/>
  <c r="W42" i="9" s="1"/>
  <c r="AB41" i="9"/>
  <c r="AC41" i="9" s="1"/>
  <c r="E41" i="9"/>
  <c r="W41" i="9" s="1"/>
  <c r="AE40" i="9"/>
  <c r="AF40" i="9" s="1"/>
  <c r="AB40" i="9"/>
  <c r="P40" i="9"/>
  <c r="N40" i="9"/>
  <c r="Q40" i="9"/>
  <c r="E40" i="9"/>
  <c r="W40" i="9" s="1"/>
  <c r="E39" i="9"/>
  <c r="AE38" i="9"/>
  <c r="AF38" i="9" s="1"/>
  <c r="Y38" i="9"/>
  <c r="I38" i="9"/>
  <c r="E38" i="9"/>
  <c r="W38" i="9" s="1"/>
  <c r="S37" i="9"/>
  <c r="T37" i="9" s="1"/>
  <c r="E37" i="9"/>
  <c r="W37" i="9" s="1"/>
  <c r="AB36" i="9"/>
  <c r="S36" i="9"/>
  <c r="P36" i="9"/>
  <c r="N36" i="9"/>
  <c r="Q36" i="9"/>
  <c r="K36" i="9"/>
  <c r="E36" i="9"/>
  <c r="W36" i="9" s="1"/>
  <c r="Y35" i="9"/>
  <c r="Z35" i="9" s="1"/>
  <c r="E35" i="9"/>
  <c r="AB34" i="9"/>
  <c r="AC34" i="9" s="1"/>
  <c r="V34" i="9"/>
  <c r="W34" i="9" s="1"/>
  <c r="P34" i="9"/>
  <c r="J34" i="9"/>
  <c r="E34" i="9"/>
  <c r="AE33" i="9"/>
  <c r="AF33" i="9" s="1"/>
  <c r="G33" i="9"/>
  <c r="H33" i="9" s="1"/>
  <c r="E33" i="9"/>
  <c r="AE32" i="9"/>
  <c r="AB32" i="9"/>
  <c r="AC32" i="9" s="1"/>
  <c r="V32" i="9"/>
  <c r="S32" i="9"/>
  <c r="P32" i="9"/>
  <c r="Q32" i="9"/>
  <c r="E32" i="9"/>
  <c r="V31" i="9"/>
  <c r="E31" i="9"/>
  <c r="P30" i="9"/>
  <c r="Q30" i="9"/>
  <c r="K30" i="9"/>
  <c r="E30" i="9"/>
  <c r="S29" i="9"/>
  <c r="T29" i="9" s="1"/>
  <c r="E29" i="9"/>
  <c r="AB28" i="9"/>
  <c r="V28" i="9"/>
  <c r="P28" i="9"/>
  <c r="Q28" i="9"/>
  <c r="E28" i="9"/>
  <c r="Q27" i="9"/>
  <c r="E27" i="9"/>
  <c r="AB26" i="9"/>
  <c r="AC26" i="9" s="1"/>
  <c r="Y26" i="9"/>
  <c r="Z26" i="9" s="1"/>
  <c r="K26" i="9"/>
  <c r="J26" i="9"/>
  <c r="E26" i="9"/>
  <c r="E25" i="9"/>
  <c r="AE24" i="9"/>
  <c r="AB24" i="9"/>
  <c r="V24" i="9"/>
  <c r="W24" i="9" s="1"/>
  <c r="Q24" i="9"/>
  <c r="P24" i="9"/>
  <c r="N24" i="9"/>
  <c r="J24" i="9"/>
  <c r="E24" i="9"/>
  <c r="S23" i="9"/>
  <c r="G23" i="9"/>
  <c r="H23" i="9" s="1"/>
  <c r="E23" i="9"/>
  <c r="AB22" i="9"/>
  <c r="AC22" i="9" s="1"/>
  <c r="V22" i="9"/>
  <c r="W22" i="9" s="1"/>
  <c r="K22" i="9"/>
  <c r="I22" i="9"/>
  <c r="E22" i="9"/>
  <c r="AE21" i="9"/>
  <c r="AF21" i="9" s="1"/>
  <c r="N21" i="9"/>
  <c r="O21" i="9" s="1"/>
  <c r="E21" i="9"/>
  <c r="AE20" i="9"/>
  <c r="AB20" i="9"/>
  <c r="V20" i="9"/>
  <c r="Q20" i="9"/>
  <c r="P20" i="9"/>
  <c r="N20" i="9"/>
  <c r="L20" i="9"/>
  <c r="E20" i="9"/>
  <c r="I19" i="9"/>
  <c r="E19" i="9"/>
  <c r="AB18" i="9"/>
  <c r="J18" i="9"/>
  <c r="E18" i="9"/>
  <c r="Z18" i="9" s="1"/>
  <c r="Q17" i="9"/>
  <c r="E17" i="9"/>
  <c r="AB16" i="9"/>
  <c r="AC16" i="9" s="1"/>
  <c r="Y16" i="9"/>
  <c r="Z16" i="9" s="1"/>
  <c r="V16" i="9"/>
  <c r="P16" i="9"/>
  <c r="Q16" i="9"/>
  <c r="K16" i="9"/>
  <c r="E16" i="9"/>
  <c r="J15" i="9"/>
  <c r="E15" i="9"/>
  <c r="AB14" i="9"/>
  <c r="AC14" i="9" s="1"/>
  <c r="Y14" i="9"/>
  <c r="S14" i="9"/>
  <c r="E14" i="9"/>
  <c r="AE13" i="9"/>
  <c r="AF13" i="9" s="1"/>
  <c r="P13" i="9"/>
  <c r="E13" i="9"/>
  <c r="AB12" i="9"/>
  <c r="V12" i="9"/>
  <c r="W12" i="9" s="1"/>
  <c r="S12" i="9"/>
  <c r="P12" i="9"/>
  <c r="Q12" i="9"/>
  <c r="G12" i="9"/>
  <c r="H12" i="9" s="1"/>
  <c r="E12" i="9"/>
  <c r="I11" i="9"/>
  <c r="E11" i="9"/>
  <c r="Y10" i="9"/>
  <c r="V10" i="9"/>
  <c r="W10" i="9" s="1"/>
  <c r="S10" i="9"/>
  <c r="E10" i="9"/>
  <c r="AE9" i="9"/>
  <c r="AF9" i="9" s="1"/>
  <c r="E9" i="9"/>
  <c r="AB8" i="9"/>
  <c r="AC8" i="9" s="1"/>
  <c r="V8" i="9"/>
  <c r="W8" i="9" s="1"/>
  <c r="S8" i="9"/>
  <c r="P8" i="9"/>
  <c r="Q8" i="9"/>
  <c r="I8" i="9"/>
  <c r="E8" i="9"/>
  <c r="Y7" i="9"/>
  <c r="Z7" i="9" s="1"/>
  <c r="L7" i="9"/>
  <c r="E7" i="9"/>
  <c r="AE6" i="9"/>
  <c r="Y6" i="9"/>
  <c r="P6" i="9"/>
  <c r="E6" i="9"/>
  <c r="AB5" i="9"/>
  <c r="AC5" i="9" s="1"/>
  <c r="E5" i="9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E4" i="9"/>
  <c r="AB4" i="9"/>
  <c r="Y4" i="9"/>
  <c r="V4" i="9"/>
  <c r="S4" i="9"/>
  <c r="P4" i="9"/>
  <c r="N4" i="9"/>
  <c r="L4" i="9"/>
  <c r="K4" i="9"/>
  <c r="I4" i="9"/>
  <c r="G4" i="9"/>
  <c r="J4" i="9"/>
  <c r="E4" i="9"/>
  <c r="AD5" i="8"/>
  <c r="AD6" i="8"/>
  <c r="AD7" i="8"/>
  <c r="AD8" i="8"/>
  <c r="AE8" i="8" s="1"/>
  <c r="AD9" i="8"/>
  <c r="AD10" i="8"/>
  <c r="AE10" i="8" s="1"/>
  <c r="AD11" i="8"/>
  <c r="AE11" i="8" s="1"/>
  <c r="AD12" i="8"/>
  <c r="AE12" i="8" s="1"/>
  <c r="AD13" i="8"/>
  <c r="AD14" i="8"/>
  <c r="AE14" i="8" s="1"/>
  <c r="AD15" i="8"/>
  <c r="AE15" i="8" s="1"/>
  <c r="AD16" i="8"/>
  <c r="AD17" i="8"/>
  <c r="AD18" i="8"/>
  <c r="AE18" i="8" s="1"/>
  <c r="AD19" i="8"/>
  <c r="AE19" i="8" s="1"/>
  <c r="AD20" i="8"/>
  <c r="AD21" i="8"/>
  <c r="AD22" i="8"/>
  <c r="AE22" i="8" s="1"/>
  <c r="AD23" i="8"/>
  <c r="AE23" i="8" s="1"/>
  <c r="AF23" i="8" s="1"/>
  <c r="AD24" i="8"/>
  <c r="AE24" i="8" s="1"/>
  <c r="AD25" i="8"/>
  <c r="AE25" i="8" s="1"/>
  <c r="AD26" i="8"/>
  <c r="AD27" i="8"/>
  <c r="AE27" i="8" s="1"/>
  <c r="AD28" i="8"/>
  <c r="AE28" i="8" s="1"/>
  <c r="AD29" i="8"/>
  <c r="AE29" i="8" s="1"/>
  <c r="AD30" i="8"/>
  <c r="AE30" i="8" s="1"/>
  <c r="AF30" i="8" s="1"/>
  <c r="AD31" i="8"/>
  <c r="AE31" i="8" s="1"/>
  <c r="AD32" i="8"/>
  <c r="AE32" i="8" s="1"/>
  <c r="AF32" i="8" s="1"/>
  <c r="AD33" i="8"/>
  <c r="AD34" i="8"/>
  <c r="AE34" i="8" s="1"/>
  <c r="AD35" i="8"/>
  <c r="AE35" i="8" s="1"/>
  <c r="AD36" i="8"/>
  <c r="AE36" i="8" s="1"/>
  <c r="AF36" i="8" s="1"/>
  <c r="AD37" i="8"/>
  <c r="AE37" i="8" s="1"/>
  <c r="AD38" i="8"/>
  <c r="AE38" i="8" s="1"/>
  <c r="AF38" i="8" s="1"/>
  <c r="AD39" i="8"/>
  <c r="AE39" i="8" s="1"/>
  <c r="AF39" i="8" s="1"/>
  <c r="AD40" i="8"/>
  <c r="AE40" i="8" s="1"/>
  <c r="AF40" i="8" s="1"/>
  <c r="AD41" i="8"/>
  <c r="AE41" i="8" s="1"/>
  <c r="AD42" i="8"/>
  <c r="AD43" i="8"/>
  <c r="AE43" i="8" s="1"/>
  <c r="AF43" i="8" s="1"/>
  <c r="AD44" i="8"/>
  <c r="AE44" i="8" s="1"/>
  <c r="AD45" i="8"/>
  <c r="AD46" i="8"/>
  <c r="AE46" i="8" s="1"/>
  <c r="AF46" i="8" s="1"/>
  <c r="AD47" i="8"/>
  <c r="AE47" i="8" s="1"/>
  <c r="AF47" i="8" s="1"/>
  <c r="AD48" i="8"/>
  <c r="AE48" i="8" s="1"/>
  <c r="AF48" i="8" s="1"/>
  <c r="AD49" i="8"/>
  <c r="AD50" i="8"/>
  <c r="AE50" i="8" s="1"/>
  <c r="AD51" i="8"/>
  <c r="AE51" i="8" s="1"/>
  <c r="AF51" i="8" s="1"/>
  <c r="AD4" i="8"/>
  <c r="AA5" i="8"/>
  <c r="AB5" i="8" s="1"/>
  <c r="AA6" i="8"/>
  <c r="AB6" i="8" s="1"/>
  <c r="AA7" i="8"/>
  <c r="AB7" i="8" s="1"/>
  <c r="AA8" i="8"/>
  <c r="AB8" i="8" s="1"/>
  <c r="AA9" i="8"/>
  <c r="AB9" i="8" s="1"/>
  <c r="AA10" i="8"/>
  <c r="AA11" i="8"/>
  <c r="AB11" i="8" s="1"/>
  <c r="AA12" i="8"/>
  <c r="AA13" i="8"/>
  <c r="AA14" i="8"/>
  <c r="AB14" i="8" s="1"/>
  <c r="AA15" i="8"/>
  <c r="AB15" i="8" s="1"/>
  <c r="AA16" i="8"/>
  <c r="AB16" i="8" s="1"/>
  <c r="AA17" i="8"/>
  <c r="AA18" i="8"/>
  <c r="AB18" i="8" s="1"/>
  <c r="AA19" i="8"/>
  <c r="AB19" i="8" s="1"/>
  <c r="AA20" i="8"/>
  <c r="AB20" i="8" s="1"/>
  <c r="AA21" i="8"/>
  <c r="AB21" i="8" s="1"/>
  <c r="AA22" i="8"/>
  <c r="AB22" i="8" s="1"/>
  <c r="AA23" i="8"/>
  <c r="AB23" i="8" s="1"/>
  <c r="AC23" i="8" s="1"/>
  <c r="AA24" i="8"/>
  <c r="AA25" i="8"/>
  <c r="AA26" i="8"/>
  <c r="AB26" i="8" s="1"/>
  <c r="AC26" i="8" s="1"/>
  <c r="AA27" i="8"/>
  <c r="AB27" i="8" s="1"/>
  <c r="AA28" i="8"/>
  <c r="AB28" i="8" s="1"/>
  <c r="AA29" i="8"/>
  <c r="AA30" i="8"/>
  <c r="AB30" i="8" s="1"/>
  <c r="AA31" i="8"/>
  <c r="AB31" i="8" s="1"/>
  <c r="AA32" i="8"/>
  <c r="AB32" i="8" s="1"/>
  <c r="AC32" i="8" s="1"/>
  <c r="AA33" i="8"/>
  <c r="AA34" i="8"/>
  <c r="AB34" i="8" s="1"/>
  <c r="AA35" i="8"/>
  <c r="AB35" i="8" s="1"/>
  <c r="AA36" i="8"/>
  <c r="AA37" i="8"/>
  <c r="AB37" i="8" s="1"/>
  <c r="AA38" i="8"/>
  <c r="AB38" i="8" s="1"/>
  <c r="AC38" i="8" s="1"/>
  <c r="AA39" i="8"/>
  <c r="AB39" i="8" s="1"/>
  <c r="AC39" i="8" s="1"/>
  <c r="AA40" i="8"/>
  <c r="AB40" i="8" s="1"/>
  <c r="AA41" i="8"/>
  <c r="AA42" i="8"/>
  <c r="AB42" i="8" s="1"/>
  <c r="AA43" i="8"/>
  <c r="AB43" i="8" s="1"/>
  <c r="AC43" i="8" s="1"/>
  <c r="AA44" i="8"/>
  <c r="AB44" i="8" s="1"/>
  <c r="AA45" i="8"/>
  <c r="AB45" i="8" s="1"/>
  <c r="AA46" i="8"/>
  <c r="AB46" i="8" s="1"/>
  <c r="AA47" i="8"/>
  <c r="AB47" i="8" s="1"/>
  <c r="AC47" i="8" s="1"/>
  <c r="AA48" i="8"/>
  <c r="AB48" i="8" s="1"/>
  <c r="AA49" i="8"/>
  <c r="AB49" i="8" s="1"/>
  <c r="AA50" i="8"/>
  <c r="AB50" i="8" s="1"/>
  <c r="AC50" i="8" s="1"/>
  <c r="AA51" i="8"/>
  <c r="AB51" i="8" s="1"/>
  <c r="AC51" i="8" s="1"/>
  <c r="AA4" i="8"/>
  <c r="AB4" i="8" s="1"/>
  <c r="X5" i="8"/>
  <c r="X6" i="8"/>
  <c r="Y6" i="8" s="1"/>
  <c r="X7" i="8"/>
  <c r="Y7" i="8" s="1"/>
  <c r="X8" i="8"/>
  <c r="Y8" i="8" s="1"/>
  <c r="X9" i="8"/>
  <c r="X10" i="8"/>
  <c r="Y10" i="8" s="1"/>
  <c r="X11" i="8"/>
  <c r="Y11" i="8" s="1"/>
  <c r="X12" i="8"/>
  <c r="Y12" i="8" s="1"/>
  <c r="X13" i="8"/>
  <c r="Y13" i="8" s="1"/>
  <c r="Z13" i="8" s="1"/>
  <c r="X14" i="8"/>
  <c r="Y14" i="8" s="1"/>
  <c r="X15" i="8"/>
  <c r="Y15" i="8" s="1"/>
  <c r="X16" i="8"/>
  <c r="X17" i="8"/>
  <c r="Y17" i="8" s="1"/>
  <c r="Z17" i="8" s="1"/>
  <c r="X18" i="8"/>
  <c r="Y18" i="8" s="1"/>
  <c r="X19" i="8"/>
  <c r="Y19" i="8" s="1"/>
  <c r="X20" i="8"/>
  <c r="Y20" i="8" s="1"/>
  <c r="X21" i="8"/>
  <c r="Y21" i="8" s="1"/>
  <c r="X22" i="8"/>
  <c r="Y22" i="8" s="1"/>
  <c r="Z22" i="8" s="1"/>
  <c r="X23" i="8"/>
  <c r="Y23" i="8" s="1"/>
  <c r="Z23" i="8" s="1"/>
  <c r="X24" i="8"/>
  <c r="Y24" i="8" s="1"/>
  <c r="X25" i="8"/>
  <c r="X26" i="8"/>
  <c r="Y26" i="8" s="1"/>
  <c r="X27" i="8"/>
  <c r="Y27" i="8" s="1"/>
  <c r="X28" i="8"/>
  <c r="X29" i="8"/>
  <c r="X30" i="8"/>
  <c r="Y30" i="8" s="1"/>
  <c r="Z30" i="8" s="1"/>
  <c r="X31" i="8"/>
  <c r="Y31" i="8" s="1"/>
  <c r="X32" i="8"/>
  <c r="X33" i="8"/>
  <c r="Y33" i="8" s="1"/>
  <c r="X34" i="8"/>
  <c r="Y34" i="8" s="1"/>
  <c r="X35" i="8"/>
  <c r="Y35" i="8" s="1"/>
  <c r="X36" i="8"/>
  <c r="Y36" i="8" s="1"/>
  <c r="X37" i="8"/>
  <c r="X38" i="8"/>
  <c r="Y38" i="8" s="1"/>
  <c r="Z38" i="8" s="1"/>
  <c r="X39" i="8"/>
  <c r="Y39" i="8" s="1"/>
  <c r="Z39" i="8" s="1"/>
  <c r="X40" i="8"/>
  <c r="Y40" i="8" s="1"/>
  <c r="X41" i="8"/>
  <c r="X42" i="8"/>
  <c r="Y42" i="8" s="1"/>
  <c r="Z42" i="8" s="1"/>
  <c r="X43" i="8"/>
  <c r="Y43" i="8" s="1"/>
  <c r="Z43" i="8" s="1"/>
  <c r="X44" i="8"/>
  <c r="X45" i="8"/>
  <c r="X46" i="8"/>
  <c r="Y46" i="8" s="1"/>
  <c r="Z46" i="8" s="1"/>
  <c r="X47" i="8"/>
  <c r="Y47" i="8" s="1"/>
  <c r="Z47" i="8" s="1"/>
  <c r="X48" i="8"/>
  <c r="Y48" i="8" s="1"/>
  <c r="Z48" i="8" s="1"/>
  <c r="X49" i="8"/>
  <c r="X50" i="8"/>
  <c r="Y50" i="8" s="1"/>
  <c r="X51" i="8"/>
  <c r="Y51" i="8" s="1"/>
  <c r="Z51" i="8" s="1"/>
  <c r="X4" i="8"/>
  <c r="Y4" i="8" s="1"/>
  <c r="U5" i="8"/>
  <c r="V5" i="8" s="1"/>
  <c r="W5" i="8" s="1"/>
  <c r="U6" i="8"/>
  <c r="V6" i="8" s="1"/>
  <c r="U7" i="8"/>
  <c r="V7" i="8" s="1"/>
  <c r="U8" i="8"/>
  <c r="U9" i="8"/>
  <c r="U10" i="8"/>
  <c r="V10" i="8" s="1"/>
  <c r="U11" i="8"/>
  <c r="V11" i="8" s="1"/>
  <c r="U12" i="8"/>
  <c r="U13" i="8"/>
  <c r="V13" i="8" s="1"/>
  <c r="W13" i="8" s="1"/>
  <c r="U14" i="8"/>
  <c r="V14" i="8" s="1"/>
  <c r="U15" i="8"/>
  <c r="V15" i="8" s="1"/>
  <c r="U16" i="8"/>
  <c r="V16" i="8" s="1"/>
  <c r="U17" i="8"/>
  <c r="V17" i="8" s="1"/>
  <c r="W17" i="8" s="1"/>
  <c r="U18" i="8"/>
  <c r="V18" i="8" s="1"/>
  <c r="U19" i="8"/>
  <c r="V19" i="8" s="1"/>
  <c r="U20" i="8"/>
  <c r="U21" i="8"/>
  <c r="U22" i="8"/>
  <c r="V22" i="8" s="1"/>
  <c r="W22" i="8" s="1"/>
  <c r="U23" i="8"/>
  <c r="V23" i="8" s="1"/>
  <c r="W23" i="8" s="1"/>
  <c r="U24" i="8"/>
  <c r="V24" i="8" s="1"/>
  <c r="U25" i="8"/>
  <c r="V25" i="8" s="1"/>
  <c r="U26" i="8"/>
  <c r="V26" i="8" s="1"/>
  <c r="U27" i="8"/>
  <c r="V27" i="8" s="1"/>
  <c r="U28" i="8"/>
  <c r="V28" i="8" s="1"/>
  <c r="U29" i="8"/>
  <c r="V29" i="8" s="1"/>
  <c r="U30" i="8"/>
  <c r="V30" i="8" s="1"/>
  <c r="U31" i="8"/>
  <c r="V31" i="8" s="1"/>
  <c r="W31" i="8" s="1"/>
  <c r="U32" i="8"/>
  <c r="V32" i="8" s="1"/>
  <c r="W32" i="8" s="1"/>
  <c r="U33" i="8"/>
  <c r="V33" i="8" s="1"/>
  <c r="U34" i="8"/>
  <c r="V34" i="8" s="1"/>
  <c r="U35" i="8"/>
  <c r="V35" i="8" s="1"/>
  <c r="U36" i="8"/>
  <c r="U37" i="8"/>
  <c r="U38" i="8"/>
  <c r="U39" i="8"/>
  <c r="U40" i="8"/>
  <c r="U41" i="8"/>
  <c r="U42" i="8"/>
  <c r="U43" i="8"/>
  <c r="U44" i="8"/>
  <c r="V44" i="8" s="1"/>
  <c r="U45" i="8"/>
  <c r="U46" i="8"/>
  <c r="V46" i="8" s="1"/>
  <c r="U47" i="8"/>
  <c r="V47" i="8" s="1"/>
  <c r="W47" i="8" s="1"/>
  <c r="U48" i="8"/>
  <c r="V48" i="8" s="1"/>
  <c r="W48" i="8" s="1"/>
  <c r="U49" i="8"/>
  <c r="V49" i="8" s="1"/>
  <c r="W49" i="8" s="1"/>
  <c r="U50" i="8"/>
  <c r="V50" i="8" s="1"/>
  <c r="U51" i="8"/>
  <c r="V51" i="8" s="1"/>
  <c r="W51" i="8" s="1"/>
  <c r="U4" i="8"/>
  <c r="R5" i="8"/>
  <c r="R6" i="8"/>
  <c r="S6" i="8" s="1"/>
  <c r="T6" i="8" s="1"/>
  <c r="R7" i="8"/>
  <c r="S7" i="8" s="1"/>
  <c r="R8" i="8"/>
  <c r="S8" i="8" s="1"/>
  <c r="R9" i="8"/>
  <c r="S9" i="8" s="1"/>
  <c r="T9" i="8" s="1"/>
  <c r="R10" i="8"/>
  <c r="S10" i="8" s="1"/>
  <c r="R11" i="8"/>
  <c r="S11" i="8" s="1"/>
  <c r="R12" i="8"/>
  <c r="S12" i="8" s="1"/>
  <c r="R13" i="8"/>
  <c r="R14" i="8"/>
  <c r="S14" i="8" s="1"/>
  <c r="R15" i="8"/>
  <c r="S15" i="8" s="1"/>
  <c r="R16" i="8"/>
  <c r="S16" i="8" s="1"/>
  <c r="R17" i="8"/>
  <c r="R18" i="8"/>
  <c r="R19" i="8"/>
  <c r="S19" i="8" s="1"/>
  <c r="T19" i="8" s="1"/>
  <c r="R20" i="8"/>
  <c r="S20" i="8" s="1"/>
  <c r="R21" i="8"/>
  <c r="R22" i="8"/>
  <c r="S22" i="8" s="1"/>
  <c r="R23" i="8"/>
  <c r="S23" i="8" s="1"/>
  <c r="T23" i="8" s="1"/>
  <c r="R24" i="8"/>
  <c r="S24" i="8" s="1"/>
  <c r="R25" i="8"/>
  <c r="S25" i="8" s="1"/>
  <c r="R26" i="8"/>
  <c r="S26" i="8" s="1"/>
  <c r="R27" i="8"/>
  <c r="S27" i="8" s="1"/>
  <c r="T27" i="8" s="1"/>
  <c r="R28" i="8"/>
  <c r="S28" i="8" s="1"/>
  <c r="R29" i="8"/>
  <c r="S29" i="8" s="1"/>
  <c r="R30" i="8"/>
  <c r="S30" i="8" s="1"/>
  <c r="R31" i="8"/>
  <c r="S31" i="8" s="1"/>
  <c r="R32" i="8"/>
  <c r="S32" i="8" s="1"/>
  <c r="T32" i="8" s="1"/>
  <c r="R33" i="8"/>
  <c r="R34" i="8"/>
  <c r="S34" i="8" s="1"/>
  <c r="R35" i="8"/>
  <c r="S35" i="8" s="1"/>
  <c r="R36" i="8"/>
  <c r="S36" i="8" s="1"/>
  <c r="R37" i="8"/>
  <c r="R38" i="8"/>
  <c r="R39" i="8"/>
  <c r="S39" i="8" s="1"/>
  <c r="T39" i="8" s="1"/>
  <c r="R40" i="8"/>
  <c r="S40" i="8" s="1"/>
  <c r="R41" i="8"/>
  <c r="S41" i="8" s="1"/>
  <c r="R42" i="8"/>
  <c r="S42" i="8" s="1"/>
  <c r="R43" i="8"/>
  <c r="S43" i="8" s="1"/>
  <c r="T43" i="8" s="1"/>
  <c r="R44" i="8"/>
  <c r="S44" i="8" s="1"/>
  <c r="R45" i="8"/>
  <c r="S45" i="8" s="1"/>
  <c r="R46" i="8"/>
  <c r="S46" i="8" s="1"/>
  <c r="R47" i="8"/>
  <c r="S47" i="8" s="1"/>
  <c r="T47" i="8" s="1"/>
  <c r="R48" i="8"/>
  <c r="S48" i="8" s="1"/>
  <c r="T48" i="8" s="1"/>
  <c r="R49" i="8"/>
  <c r="R50" i="8"/>
  <c r="S50" i="8" s="1"/>
  <c r="R51" i="8"/>
  <c r="S51" i="8" s="1"/>
  <c r="R4" i="8"/>
  <c r="S4" i="8" s="1"/>
  <c r="M5" i="8"/>
  <c r="P5" i="8" s="1"/>
  <c r="M6" i="8"/>
  <c r="P6" i="8" s="1"/>
  <c r="M7" i="8"/>
  <c r="N7" i="8" s="1"/>
  <c r="M8" i="8"/>
  <c r="M9" i="8"/>
  <c r="P9" i="8" s="1"/>
  <c r="M10" i="8"/>
  <c r="M11" i="8"/>
  <c r="M12" i="8"/>
  <c r="M13" i="8"/>
  <c r="Q13" i="8" s="1"/>
  <c r="M14" i="8"/>
  <c r="P14" i="8" s="1"/>
  <c r="M15" i="8"/>
  <c r="N15" i="8" s="1"/>
  <c r="M16" i="8"/>
  <c r="P16" i="8" s="1"/>
  <c r="M17" i="8"/>
  <c r="N17" i="8" s="1"/>
  <c r="O17" i="8" s="1"/>
  <c r="M18" i="8"/>
  <c r="Q18" i="8" s="1"/>
  <c r="M19" i="8"/>
  <c r="M20" i="8"/>
  <c r="N20" i="8" s="1"/>
  <c r="M21" i="8"/>
  <c r="N21" i="8" s="1"/>
  <c r="M22" i="8"/>
  <c r="M23" i="8"/>
  <c r="N23" i="8" s="1"/>
  <c r="O23" i="8" s="1"/>
  <c r="M24" i="8"/>
  <c r="M25" i="8"/>
  <c r="M26" i="8"/>
  <c r="M27" i="8"/>
  <c r="M28" i="8"/>
  <c r="M29" i="8"/>
  <c r="M30" i="8"/>
  <c r="M31" i="8"/>
  <c r="M32" i="8"/>
  <c r="Q32" i="8" s="1"/>
  <c r="M33" i="8"/>
  <c r="P33" i="8" s="1"/>
  <c r="M34" i="8"/>
  <c r="M35" i="8"/>
  <c r="Q35" i="8" s="1"/>
  <c r="M36" i="8"/>
  <c r="N36" i="8" s="1"/>
  <c r="O36" i="8" s="1"/>
  <c r="M37" i="8"/>
  <c r="N37" i="8" s="1"/>
  <c r="M38" i="8"/>
  <c r="M39" i="8"/>
  <c r="Q39" i="8" s="1"/>
  <c r="M40" i="8"/>
  <c r="M41" i="8"/>
  <c r="M42" i="8"/>
  <c r="P42" i="8" s="1"/>
  <c r="M43" i="8"/>
  <c r="M44" i="8"/>
  <c r="M45" i="8"/>
  <c r="M46" i="8"/>
  <c r="M47" i="8"/>
  <c r="M48" i="8"/>
  <c r="M49" i="8"/>
  <c r="P49" i="8" s="1"/>
  <c r="M50" i="8"/>
  <c r="M51" i="8"/>
  <c r="M4" i="8"/>
  <c r="Q4" i="8" s="1"/>
  <c r="F5" i="8"/>
  <c r="K5" i="8" s="1"/>
  <c r="F6" i="8"/>
  <c r="F7" i="8"/>
  <c r="I7" i="8" s="1"/>
  <c r="F8" i="8"/>
  <c r="F9" i="8"/>
  <c r="F10" i="8"/>
  <c r="F11" i="8"/>
  <c r="F12" i="8"/>
  <c r="I12" i="8" s="1"/>
  <c r="F13" i="8"/>
  <c r="K13" i="8" s="1"/>
  <c r="F14" i="8"/>
  <c r="F15" i="8"/>
  <c r="F16" i="8"/>
  <c r="F17" i="8"/>
  <c r="K17" i="8" s="1"/>
  <c r="F18" i="8"/>
  <c r="F19" i="8"/>
  <c r="I19" i="8" s="1"/>
  <c r="F20" i="8"/>
  <c r="F21" i="8"/>
  <c r="J21" i="8" s="1"/>
  <c r="F22" i="8"/>
  <c r="K22" i="8" s="1"/>
  <c r="F23" i="8"/>
  <c r="F24" i="8"/>
  <c r="F25" i="8"/>
  <c r="G25" i="8" s="1"/>
  <c r="F26" i="8"/>
  <c r="F27" i="8"/>
  <c r="F28" i="8"/>
  <c r="J28" i="8" s="1"/>
  <c r="F29" i="8"/>
  <c r="I29" i="8" s="1"/>
  <c r="F30" i="8"/>
  <c r="F31" i="8"/>
  <c r="J31" i="8" s="1"/>
  <c r="F32" i="8"/>
  <c r="I32" i="8" s="1"/>
  <c r="F33" i="8"/>
  <c r="I33" i="8" s="1"/>
  <c r="F34" i="8"/>
  <c r="I34" i="8" s="1"/>
  <c r="F35" i="8"/>
  <c r="F36" i="8"/>
  <c r="I36" i="8" s="1"/>
  <c r="F37" i="8"/>
  <c r="F38" i="8"/>
  <c r="F39" i="8"/>
  <c r="K39" i="8" s="1"/>
  <c r="F40" i="8"/>
  <c r="K40" i="8" s="1"/>
  <c r="F41" i="8"/>
  <c r="F42" i="8"/>
  <c r="F43" i="8"/>
  <c r="K43" i="8" s="1"/>
  <c r="F44" i="8"/>
  <c r="F45" i="8"/>
  <c r="K45" i="8" s="1"/>
  <c r="F46" i="8"/>
  <c r="G46" i="8" s="1"/>
  <c r="H46" i="8" s="1"/>
  <c r="F47" i="8"/>
  <c r="G47" i="8" s="1"/>
  <c r="H47" i="8" s="1"/>
  <c r="F48" i="8"/>
  <c r="F49" i="8"/>
  <c r="F50" i="8"/>
  <c r="F51" i="8"/>
  <c r="E51" i="8"/>
  <c r="E50" i="8"/>
  <c r="AE49" i="8"/>
  <c r="Y49" i="8"/>
  <c r="S49" i="8"/>
  <c r="Q49" i="8"/>
  <c r="I49" i="8"/>
  <c r="K49" i="8"/>
  <c r="E49" i="8"/>
  <c r="AC48" i="8"/>
  <c r="K48" i="8"/>
  <c r="E48" i="8"/>
  <c r="K47" i="8"/>
  <c r="I47" i="8"/>
  <c r="E47" i="8"/>
  <c r="I46" i="8"/>
  <c r="E46" i="8"/>
  <c r="AE45" i="8"/>
  <c r="Y45" i="8"/>
  <c r="V45" i="8"/>
  <c r="I45" i="8"/>
  <c r="G45" i="8"/>
  <c r="J45" i="8"/>
  <c r="E45" i="8"/>
  <c r="Y44" i="8"/>
  <c r="E44" i="8"/>
  <c r="E43" i="8"/>
  <c r="W43" i="8" s="1"/>
  <c r="AE42" i="8"/>
  <c r="E42" i="8"/>
  <c r="W42" i="8" s="1"/>
  <c r="AB41" i="8"/>
  <c r="AC41" i="8" s="1"/>
  <c r="Y41" i="8"/>
  <c r="Z41" i="8" s="1"/>
  <c r="W41" i="8"/>
  <c r="N41" i="8"/>
  <c r="O41" i="8" s="1"/>
  <c r="Q41" i="8"/>
  <c r="I41" i="8"/>
  <c r="E41" i="8"/>
  <c r="W40" i="8"/>
  <c r="E40" i="8"/>
  <c r="I39" i="8"/>
  <c r="E39" i="8"/>
  <c r="W39" i="8" s="1"/>
  <c r="S38" i="8"/>
  <c r="T38" i="8" s="1"/>
  <c r="E38" i="8"/>
  <c r="W38" i="8" s="1"/>
  <c r="Y37" i="8"/>
  <c r="S37" i="8"/>
  <c r="P37" i="8"/>
  <c r="I37" i="8"/>
  <c r="E37" i="8"/>
  <c r="W37" i="8" s="1"/>
  <c r="AB36" i="8"/>
  <c r="AC36" i="8" s="1"/>
  <c r="W36" i="8"/>
  <c r="K36" i="8"/>
  <c r="E36" i="8"/>
  <c r="E35" i="8"/>
  <c r="J34" i="8"/>
  <c r="E34" i="8"/>
  <c r="AE33" i="8"/>
  <c r="AB33" i="8"/>
  <c r="AC33" i="8" s="1"/>
  <c r="S33" i="8"/>
  <c r="Q33" i="8"/>
  <c r="N33" i="8"/>
  <c r="J33" i="8"/>
  <c r="E33" i="8"/>
  <c r="Y32" i="8"/>
  <c r="Z32" i="8" s="1"/>
  <c r="P32" i="8"/>
  <c r="E32" i="8"/>
  <c r="Q31" i="8"/>
  <c r="P31" i="8"/>
  <c r="E31" i="8"/>
  <c r="E30" i="8"/>
  <c r="AB29" i="8"/>
  <c r="Y29" i="8"/>
  <c r="Q29" i="8"/>
  <c r="P29" i="8"/>
  <c r="J29" i="8"/>
  <c r="E29" i="8"/>
  <c r="Y28" i="8"/>
  <c r="I28" i="8"/>
  <c r="E28" i="8"/>
  <c r="K27" i="8"/>
  <c r="E27" i="8"/>
  <c r="AE26" i="8"/>
  <c r="AF26" i="8" s="1"/>
  <c r="N26" i="8"/>
  <c r="E26" i="8"/>
  <c r="AB25" i="8"/>
  <c r="Y25" i="8"/>
  <c r="N25" i="8"/>
  <c r="K25" i="8"/>
  <c r="I25" i="8"/>
  <c r="E25" i="8"/>
  <c r="AB24" i="8"/>
  <c r="N24" i="8"/>
  <c r="O24" i="8" s="1"/>
  <c r="E24" i="8"/>
  <c r="E23" i="8"/>
  <c r="N22" i="8"/>
  <c r="J22" i="8"/>
  <c r="E22" i="8"/>
  <c r="AE21" i="8"/>
  <c r="V21" i="8"/>
  <c r="S21" i="8"/>
  <c r="K21" i="8"/>
  <c r="G21" i="8"/>
  <c r="E21" i="8"/>
  <c r="AE20" i="8"/>
  <c r="V20" i="8"/>
  <c r="E20" i="8"/>
  <c r="E19" i="8"/>
  <c r="S18" i="8"/>
  <c r="E18" i="8"/>
  <c r="AE17" i="8"/>
  <c r="AF17" i="8" s="1"/>
  <c r="AB17" i="8"/>
  <c r="S17" i="8"/>
  <c r="T17" i="8" s="1"/>
  <c r="P17" i="8"/>
  <c r="Q17" i="8"/>
  <c r="E17" i="8"/>
  <c r="AE16" i="8"/>
  <c r="Y16" i="8"/>
  <c r="E16" i="8"/>
  <c r="E15" i="8"/>
  <c r="E14" i="8"/>
  <c r="AE13" i="8"/>
  <c r="AF13" i="8" s="1"/>
  <c r="AB13" i="8"/>
  <c r="S13" i="8"/>
  <c r="T13" i="8" s="1"/>
  <c r="P13" i="8"/>
  <c r="N13" i="8"/>
  <c r="O13" i="8" s="1"/>
  <c r="E13" i="8"/>
  <c r="AB12" i="8"/>
  <c r="AC12" i="8" s="1"/>
  <c r="V12" i="8"/>
  <c r="K12" i="8"/>
  <c r="E12" i="8"/>
  <c r="N11" i="8"/>
  <c r="O11" i="8" s="1"/>
  <c r="I11" i="8"/>
  <c r="E11" i="8"/>
  <c r="AB10" i="8"/>
  <c r="E10" i="8"/>
  <c r="AE9" i="8"/>
  <c r="AF9" i="8" s="1"/>
  <c r="Y9" i="8"/>
  <c r="V9" i="8"/>
  <c r="W9" i="8" s="1"/>
  <c r="N9" i="8"/>
  <c r="Q9" i="8"/>
  <c r="K9" i="8"/>
  <c r="E9" i="8"/>
  <c r="V8" i="8"/>
  <c r="W8" i="8" s="1"/>
  <c r="J8" i="8"/>
  <c r="E8" i="8"/>
  <c r="AE7" i="8"/>
  <c r="AF7" i="8" s="1"/>
  <c r="E7" i="8"/>
  <c r="AE6" i="8"/>
  <c r="Q6" i="8"/>
  <c r="E6" i="8"/>
  <c r="AE5" i="8"/>
  <c r="AF5" i="8" s="1"/>
  <c r="Y5" i="8"/>
  <c r="Z5" i="8" s="1"/>
  <c r="S5" i="8"/>
  <c r="T5" i="8" s="1"/>
  <c r="N5" i="8"/>
  <c r="O5" i="8" s="1"/>
  <c r="Q5" i="8"/>
  <c r="E5" i="8"/>
  <c r="A5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E4" i="8"/>
  <c r="V4" i="8"/>
  <c r="P4" i="8"/>
  <c r="L4" i="8"/>
  <c r="K4" i="8"/>
  <c r="I4" i="8"/>
  <c r="G4" i="8"/>
  <c r="J4" i="8"/>
  <c r="E4" i="8"/>
  <c r="AD5" i="7"/>
  <c r="AE5" i="7" s="1"/>
  <c r="AD6" i="7"/>
  <c r="AE6" i="7" s="1"/>
  <c r="AD7" i="7"/>
  <c r="AE7" i="7" s="1"/>
  <c r="AF7" i="7" s="1"/>
  <c r="AD8" i="7"/>
  <c r="AE8" i="7" s="1"/>
  <c r="AD9" i="7"/>
  <c r="AE9" i="7" s="1"/>
  <c r="AD10" i="7"/>
  <c r="AD11" i="7"/>
  <c r="AE11" i="7" s="1"/>
  <c r="AF11" i="7" s="1"/>
  <c r="AD12" i="7"/>
  <c r="AD13" i="7"/>
  <c r="AE13" i="7" s="1"/>
  <c r="AD14" i="7"/>
  <c r="AE14" i="7" s="1"/>
  <c r="AD15" i="7"/>
  <c r="AE15" i="7" s="1"/>
  <c r="AF15" i="7" s="1"/>
  <c r="AD16" i="7"/>
  <c r="AD17" i="7"/>
  <c r="AE17" i="7" s="1"/>
  <c r="AD18" i="7"/>
  <c r="AD19" i="7"/>
  <c r="AE19" i="7" s="1"/>
  <c r="AF19" i="7" s="1"/>
  <c r="AD20" i="7"/>
  <c r="AE20" i="7" s="1"/>
  <c r="AF20" i="7" s="1"/>
  <c r="AD21" i="7"/>
  <c r="AE21" i="7" s="1"/>
  <c r="AF21" i="7" s="1"/>
  <c r="AD22" i="7"/>
  <c r="AD23" i="7"/>
  <c r="AE23" i="7" s="1"/>
  <c r="AF23" i="7" s="1"/>
  <c r="AD24" i="7"/>
  <c r="AE24" i="7" s="1"/>
  <c r="AD25" i="7"/>
  <c r="AE25" i="7" s="1"/>
  <c r="AF25" i="7" s="1"/>
  <c r="AD26" i="7"/>
  <c r="AE26" i="7" s="1"/>
  <c r="AD27" i="7"/>
  <c r="AE27" i="7" s="1"/>
  <c r="AD28" i="7"/>
  <c r="AD29" i="7"/>
  <c r="AE29" i="7" s="1"/>
  <c r="AF29" i="7" s="1"/>
  <c r="AD30" i="7"/>
  <c r="AE30" i="7" s="1"/>
  <c r="AD31" i="7"/>
  <c r="AE31" i="7" s="1"/>
  <c r="AF31" i="7" s="1"/>
  <c r="AD32" i="7"/>
  <c r="AE32" i="7" s="1"/>
  <c r="AD33" i="7"/>
  <c r="AE33" i="7" s="1"/>
  <c r="AF33" i="7" s="1"/>
  <c r="AD34" i="7"/>
  <c r="AD35" i="7"/>
  <c r="AE35" i="7" s="1"/>
  <c r="AD36" i="7"/>
  <c r="AE36" i="7" s="1"/>
  <c r="AD37" i="7"/>
  <c r="AD38" i="7"/>
  <c r="AE38" i="7" s="1"/>
  <c r="AD39" i="7"/>
  <c r="AE39" i="7" s="1"/>
  <c r="AF39" i="7" s="1"/>
  <c r="AD40" i="7"/>
  <c r="AD41" i="7"/>
  <c r="AD42" i="7"/>
  <c r="AE42" i="7" s="1"/>
  <c r="AD43" i="7"/>
  <c r="AE43" i="7" s="1"/>
  <c r="AF43" i="7" s="1"/>
  <c r="AD44" i="7"/>
  <c r="AD45" i="7"/>
  <c r="AD46" i="7"/>
  <c r="AD47" i="7"/>
  <c r="AE47" i="7" s="1"/>
  <c r="AD48" i="7"/>
  <c r="AE48" i="7" s="1"/>
  <c r="AF48" i="7" s="1"/>
  <c r="AD49" i="7"/>
  <c r="AE49" i="7" s="1"/>
  <c r="AF49" i="7" s="1"/>
  <c r="AD50" i="7"/>
  <c r="AD51" i="7"/>
  <c r="AE51" i="7" s="1"/>
  <c r="AF51" i="7" s="1"/>
  <c r="AD4" i="7"/>
  <c r="AA5" i="7"/>
  <c r="AB5" i="7" s="1"/>
  <c r="AA6" i="7"/>
  <c r="AA7" i="7"/>
  <c r="AB7" i="7" s="1"/>
  <c r="AC7" i="7" s="1"/>
  <c r="AA8" i="7"/>
  <c r="AA9" i="7"/>
  <c r="AA10" i="7"/>
  <c r="AB10" i="7" s="1"/>
  <c r="AA11" i="7"/>
  <c r="AB11" i="7" s="1"/>
  <c r="AC11" i="7" s="1"/>
  <c r="AA12" i="7"/>
  <c r="AB12" i="7" s="1"/>
  <c r="AA13" i="7"/>
  <c r="AB13" i="7" s="1"/>
  <c r="AC13" i="7" s="1"/>
  <c r="AA14" i="7"/>
  <c r="AA15" i="7"/>
  <c r="AB15" i="7" s="1"/>
  <c r="AC15" i="7" s="1"/>
  <c r="AA16" i="7"/>
  <c r="AB16" i="7" s="1"/>
  <c r="AC16" i="7" s="1"/>
  <c r="AA17" i="7"/>
  <c r="AB17" i="7" s="1"/>
  <c r="AC17" i="7" s="1"/>
  <c r="AA18" i="7"/>
  <c r="AB18" i="7" s="1"/>
  <c r="AA19" i="7"/>
  <c r="AB19" i="7" s="1"/>
  <c r="AC19" i="7" s="1"/>
  <c r="AA20" i="7"/>
  <c r="AB20" i="7" s="1"/>
  <c r="AC20" i="7" s="1"/>
  <c r="AA21" i="7"/>
  <c r="AB21" i="7" s="1"/>
  <c r="AC21" i="7" s="1"/>
  <c r="AA22" i="7"/>
  <c r="AA23" i="7"/>
  <c r="AB23" i="7" s="1"/>
  <c r="AC23" i="7" s="1"/>
  <c r="AA24" i="7"/>
  <c r="AA25" i="7"/>
  <c r="AA26" i="7"/>
  <c r="AB26" i="7" s="1"/>
  <c r="AA27" i="7"/>
  <c r="AB27" i="7" s="1"/>
  <c r="AA28" i="7"/>
  <c r="AB28" i="7" s="1"/>
  <c r="AA29" i="7"/>
  <c r="AA30" i="7"/>
  <c r="AB30" i="7" s="1"/>
  <c r="AA31" i="7"/>
  <c r="AB31" i="7" s="1"/>
  <c r="AC31" i="7" s="1"/>
  <c r="AA32" i="7"/>
  <c r="AB32" i="7" s="1"/>
  <c r="AA33" i="7"/>
  <c r="AB33" i="7" s="1"/>
  <c r="AC33" i="7" s="1"/>
  <c r="AA34" i="7"/>
  <c r="AA35" i="7"/>
  <c r="AB35" i="7" s="1"/>
  <c r="AA36" i="7"/>
  <c r="AB36" i="7" s="1"/>
  <c r="AA37" i="7"/>
  <c r="AB37" i="7" s="1"/>
  <c r="AC37" i="7" s="1"/>
  <c r="AA38" i="7"/>
  <c r="AA39" i="7"/>
  <c r="AB39" i="7" s="1"/>
  <c r="AA40" i="7"/>
  <c r="AA41" i="7"/>
  <c r="AB41" i="7" s="1"/>
  <c r="AA42" i="7"/>
  <c r="AB42" i="7" s="1"/>
  <c r="AA43" i="7"/>
  <c r="AB43" i="7" s="1"/>
  <c r="AA44" i="7"/>
  <c r="AB44" i="7" s="1"/>
  <c r="AA45" i="7"/>
  <c r="AB45" i="7" s="1"/>
  <c r="AA46" i="7"/>
  <c r="AA47" i="7"/>
  <c r="AB47" i="7" s="1"/>
  <c r="AC47" i="7" s="1"/>
  <c r="AA48" i="7"/>
  <c r="AB48" i="7" s="1"/>
  <c r="AC48" i="7" s="1"/>
  <c r="AA49" i="7"/>
  <c r="AB49" i="7" s="1"/>
  <c r="AA50" i="7"/>
  <c r="AB50" i="7" s="1"/>
  <c r="AA51" i="7"/>
  <c r="AB51" i="7" s="1"/>
  <c r="AC51" i="7" s="1"/>
  <c r="AA4" i="7"/>
  <c r="AB4" i="7" s="1"/>
  <c r="X5" i="7"/>
  <c r="Y5" i="7" s="1"/>
  <c r="X6" i="7"/>
  <c r="Y6" i="7" s="1"/>
  <c r="X7" i="7"/>
  <c r="Y7" i="7" s="1"/>
  <c r="Z7" i="7" s="1"/>
  <c r="X8" i="7"/>
  <c r="Y8" i="7" s="1"/>
  <c r="X9" i="7"/>
  <c r="Y9" i="7" s="1"/>
  <c r="X10" i="7"/>
  <c r="Y10" i="7" s="1"/>
  <c r="X11" i="7"/>
  <c r="Y11" i="7" s="1"/>
  <c r="Z11" i="7" s="1"/>
  <c r="X12" i="7"/>
  <c r="Y12" i="7" s="1"/>
  <c r="X13" i="7"/>
  <c r="Y13" i="7" s="1"/>
  <c r="X14" i="7"/>
  <c r="Y14" i="7" s="1"/>
  <c r="X15" i="7"/>
  <c r="Y15" i="7" s="1"/>
  <c r="Z15" i="7" s="1"/>
  <c r="X16" i="7"/>
  <c r="Y16" i="7" s="1"/>
  <c r="Z16" i="7" s="1"/>
  <c r="X17" i="7"/>
  <c r="X18" i="7"/>
  <c r="Y18" i="7" s="1"/>
  <c r="X19" i="7"/>
  <c r="Y19" i="7" s="1"/>
  <c r="Z19" i="7" s="1"/>
  <c r="X20" i="7"/>
  <c r="Y20" i="7" s="1"/>
  <c r="Z20" i="7" s="1"/>
  <c r="X21" i="7"/>
  <c r="Y21" i="7" s="1"/>
  <c r="Z21" i="7" s="1"/>
  <c r="X22" i="7"/>
  <c r="Y22" i="7" s="1"/>
  <c r="X23" i="7"/>
  <c r="Y23" i="7" s="1"/>
  <c r="Z23" i="7" s="1"/>
  <c r="X24" i="7"/>
  <c r="Y24" i="7" s="1"/>
  <c r="X25" i="7"/>
  <c r="Y25" i="7" s="1"/>
  <c r="X26" i="7"/>
  <c r="Y26" i="7" s="1"/>
  <c r="X27" i="7"/>
  <c r="Y27" i="7" s="1"/>
  <c r="X28" i="7"/>
  <c r="X29" i="7"/>
  <c r="Y29" i="7" s="1"/>
  <c r="Z29" i="7" s="1"/>
  <c r="X30" i="7"/>
  <c r="Y30" i="7" s="1"/>
  <c r="X31" i="7"/>
  <c r="Y31" i="7" s="1"/>
  <c r="Z31" i="7" s="1"/>
  <c r="X32" i="7"/>
  <c r="Y32" i="7" s="1"/>
  <c r="X33" i="7"/>
  <c r="Y33" i="7" s="1"/>
  <c r="X34" i="7"/>
  <c r="Y34" i="7" s="1"/>
  <c r="X35" i="7"/>
  <c r="Y35" i="7" s="1"/>
  <c r="X36" i="7"/>
  <c r="Y36" i="7" s="1"/>
  <c r="X37" i="7"/>
  <c r="Y37" i="7" s="1"/>
  <c r="Z37" i="7" s="1"/>
  <c r="X38" i="7"/>
  <c r="X39" i="7"/>
  <c r="Y39" i="7" s="1"/>
  <c r="Z39" i="7" s="1"/>
  <c r="X40" i="7"/>
  <c r="Y40" i="7" s="1"/>
  <c r="X41" i="7"/>
  <c r="Y41" i="7" s="1"/>
  <c r="X42" i="7"/>
  <c r="X43" i="7"/>
  <c r="Y43" i="7" s="1"/>
  <c r="X44" i="7"/>
  <c r="Y44" i="7" s="1"/>
  <c r="X45" i="7"/>
  <c r="Y45" i="7" s="1"/>
  <c r="X46" i="7"/>
  <c r="Y46" i="7" s="1"/>
  <c r="Z46" i="7" s="1"/>
  <c r="X47" i="7"/>
  <c r="Y47" i="7" s="1"/>
  <c r="X48" i="7"/>
  <c r="Y48" i="7" s="1"/>
  <c r="Z48" i="7" s="1"/>
  <c r="X49" i="7"/>
  <c r="Y49" i="7" s="1"/>
  <c r="X50" i="7"/>
  <c r="Y50" i="7" s="1"/>
  <c r="X51" i="7"/>
  <c r="Y51" i="7" s="1"/>
  <c r="Z51" i="7" s="1"/>
  <c r="X4" i="7"/>
  <c r="U5" i="7"/>
  <c r="V5" i="7" s="1"/>
  <c r="U6" i="7"/>
  <c r="V6" i="7" s="1"/>
  <c r="U7" i="7"/>
  <c r="V7" i="7" s="1"/>
  <c r="W7" i="7" s="1"/>
  <c r="U8" i="7"/>
  <c r="V8" i="7" s="1"/>
  <c r="U9" i="7"/>
  <c r="V9" i="7" s="1"/>
  <c r="U10" i="7"/>
  <c r="V10" i="7" s="1"/>
  <c r="U11" i="7"/>
  <c r="V11" i="7" s="1"/>
  <c r="W11" i="7" s="1"/>
  <c r="U12" i="7"/>
  <c r="V12" i="7" s="1"/>
  <c r="U13" i="7"/>
  <c r="V13" i="7" s="1"/>
  <c r="U14" i="7"/>
  <c r="V14" i="7" s="1"/>
  <c r="U15" i="7"/>
  <c r="V15" i="7" s="1"/>
  <c r="W15" i="7" s="1"/>
  <c r="U16" i="7"/>
  <c r="V16" i="7" s="1"/>
  <c r="W16" i="7" s="1"/>
  <c r="U17" i="7"/>
  <c r="U18" i="7"/>
  <c r="V18" i="7" s="1"/>
  <c r="U19" i="7"/>
  <c r="V19" i="7" s="1"/>
  <c r="W19" i="7" s="1"/>
  <c r="U20" i="7"/>
  <c r="V20" i="7" s="1"/>
  <c r="W20" i="7" s="1"/>
  <c r="U21" i="7"/>
  <c r="V21" i="7" s="1"/>
  <c r="W21" i="7" s="1"/>
  <c r="U22" i="7"/>
  <c r="V22" i="7" s="1"/>
  <c r="W22" i="7" s="1"/>
  <c r="U23" i="7"/>
  <c r="V23" i="7" s="1"/>
  <c r="W23" i="7" s="1"/>
  <c r="U24" i="7"/>
  <c r="V24" i="7" s="1"/>
  <c r="U25" i="7"/>
  <c r="V25" i="7" s="1"/>
  <c r="W25" i="7" s="1"/>
  <c r="U26" i="7"/>
  <c r="U27" i="7"/>
  <c r="V27" i="7" s="1"/>
  <c r="U28" i="7"/>
  <c r="U29" i="7"/>
  <c r="V29" i="7" s="1"/>
  <c r="W29" i="7" s="1"/>
  <c r="U30" i="7"/>
  <c r="U31" i="7"/>
  <c r="V31" i="7" s="1"/>
  <c r="W31" i="7" s="1"/>
  <c r="U32" i="7"/>
  <c r="V32" i="7" s="1"/>
  <c r="U33" i="7"/>
  <c r="V33" i="7" s="1"/>
  <c r="U34" i="7"/>
  <c r="V34" i="7" s="1"/>
  <c r="W34" i="7" s="1"/>
  <c r="U35" i="7"/>
  <c r="V35" i="7" s="1"/>
  <c r="U36" i="7"/>
  <c r="U37" i="7"/>
  <c r="U38" i="7"/>
  <c r="U39" i="7"/>
  <c r="U40" i="7"/>
  <c r="U41" i="7"/>
  <c r="U42" i="7"/>
  <c r="U43" i="7"/>
  <c r="U44" i="7"/>
  <c r="V44" i="7" s="1"/>
  <c r="U45" i="7"/>
  <c r="V45" i="7" s="1"/>
  <c r="U46" i="7"/>
  <c r="V46" i="7" s="1"/>
  <c r="W46" i="7" s="1"/>
  <c r="U47" i="7"/>
  <c r="V47" i="7" s="1"/>
  <c r="U48" i="7"/>
  <c r="V48" i="7" s="1"/>
  <c r="W48" i="7" s="1"/>
  <c r="U49" i="7"/>
  <c r="V49" i="7" s="1"/>
  <c r="U50" i="7"/>
  <c r="U51" i="7"/>
  <c r="V51" i="7" s="1"/>
  <c r="W51" i="7" s="1"/>
  <c r="U4" i="7"/>
  <c r="R5" i="7"/>
  <c r="S5" i="7" s="1"/>
  <c r="R6" i="7"/>
  <c r="S6" i="7" s="1"/>
  <c r="R7" i="7"/>
  <c r="S7" i="7" s="1"/>
  <c r="T7" i="7" s="1"/>
  <c r="R8" i="7"/>
  <c r="R9" i="7"/>
  <c r="S9" i="7" s="1"/>
  <c r="R10" i="7"/>
  <c r="R11" i="7"/>
  <c r="S11" i="7" s="1"/>
  <c r="T11" i="7" s="1"/>
  <c r="R12" i="7"/>
  <c r="S12" i="7" s="1"/>
  <c r="R13" i="7"/>
  <c r="R14" i="7"/>
  <c r="S14" i="7" s="1"/>
  <c r="R15" i="7"/>
  <c r="S15" i="7" s="1"/>
  <c r="T15" i="7" s="1"/>
  <c r="R16" i="7"/>
  <c r="R17" i="7"/>
  <c r="S17" i="7" s="1"/>
  <c r="R18" i="7"/>
  <c r="S18" i="7" s="1"/>
  <c r="R19" i="7"/>
  <c r="S19" i="7" s="1"/>
  <c r="T19" i="7" s="1"/>
  <c r="R20" i="7"/>
  <c r="R21" i="7"/>
  <c r="R22" i="7"/>
  <c r="S22" i="7" s="1"/>
  <c r="R23" i="7"/>
  <c r="S23" i="7" s="1"/>
  <c r="T23" i="7" s="1"/>
  <c r="R24" i="7"/>
  <c r="R25" i="7"/>
  <c r="S25" i="7" s="1"/>
  <c r="T25" i="7" s="1"/>
  <c r="R26" i="7"/>
  <c r="S26" i="7" s="1"/>
  <c r="R27" i="7"/>
  <c r="S27" i="7" s="1"/>
  <c r="R28" i="7"/>
  <c r="S28" i="7" s="1"/>
  <c r="R29" i="7"/>
  <c r="S29" i="7" s="1"/>
  <c r="T29" i="7" s="1"/>
  <c r="R30" i="7"/>
  <c r="S30" i="7" s="1"/>
  <c r="R31" i="7"/>
  <c r="S31" i="7" s="1"/>
  <c r="T31" i="7" s="1"/>
  <c r="R32" i="7"/>
  <c r="R33" i="7"/>
  <c r="R34" i="7"/>
  <c r="S34" i="7" s="1"/>
  <c r="T34" i="7" s="1"/>
  <c r="R35" i="7"/>
  <c r="S35" i="7" s="1"/>
  <c r="R36" i="7"/>
  <c r="S36" i="7" s="1"/>
  <c r="R37" i="7"/>
  <c r="S37" i="7" s="1"/>
  <c r="T37" i="7" s="1"/>
  <c r="R38" i="7"/>
  <c r="S38" i="7" s="1"/>
  <c r="R39" i="7"/>
  <c r="S39" i="7" s="1"/>
  <c r="T39" i="7" s="1"/>
  <c r="R40" i="7"/>
  <c r="R41" i="7"/>
  <c r="S41" i="7" s="1"/>
  <c r="T41" i="7" s="1"/>
  <c r="R42" i="7"/>
  <c r="S42" i="7" s="1"/>
  <c r="R43" i="7"/>
  <c r="S43" i="7" s="1"/>
  <c r="R44" i="7"/>
  <c r="S44" i="7" s="1"/>
  <c r="R45" i="7"/>
  <c r="S45" i="7" s="1"/>
  <c r="R46" i="7"/>
  <c r="S46" i="7" s="1"/>
  <c r="R47" i="7"/>
  <c r="S47" i="7" s="1"/>
  <c r="T47" i="7" s="1"/>
  <c r="R48" i="7"/>
  <c r="R49" i="7"/>
  <c r="S49" i="7" s="1"/>
  <c r="R50" i="7"/>
  <c r="S50" i="7" s="1"/>
  <c r="R51" i="7"/>
  <c r="S51" i="7" s="1"/>
  <c r="T51" i="7" s="1"/>
  <c r="R4" i="7"/>
  <c r="M5" i="7"/>
  <c r="M6" i="7"/>
  <c r="N6" i="7" s="1"/>
  <c r="M7" i="7"/>
  <c r="P7" i="7" s="1"/>
  <c r="M8" i="7"/>
  <c r="M9" i="7"/>
  <c r="Q9" i="7" s="1"/>
  <c r="M10" i="7"/>
  <c r="N10" i="7" s="1"/>
  <c r="M11" i="7"/>
  <c r="M12" i="7"/>
  <c r="P12" i="7" s="1"/>
  <c r="M13" i="7"/>
  <c r="Q13" i="7" s="1"/>
  <c r="M14" i="7"/>
  <c r="N14" i="7" s="1"/>
  <c r="M15" i="7"/>
  <c r="M16" i="7"/>
  <c r="P16" i="7" s="1"/>
  <c r="M17" i="7"/>
  <c r="M18" i="7"/>
  <c r="M19" i="7"/>
  <c r="N19" i="7" s="1"/>
  <c r="O19" i="7" s="1"/>
  <c r="M20" i="7"/>
  <c r="P20" i="7" s="1"/>
  <c r="M21" i="7"/>
  <c r="M22" i="7"/>
  <c r="Q22" i="7" s="1"/>
  <c r="M23" i="7"/>
  <c r="M24" i="7"/>
  <c r="M25" i="7"/>
  <c r="M26" i="7"/>
  <c r="P26" i="7" s="1"/>
  <c r="M27" i="7"/>
  <c r="M28" i="7"/>
  <c r="Q28" i="7" s="1"/>
  <c r="M29" i="7"/>
  <c r="M30" i="7"/>
  <c r="N30" i="7" s="1"/>
  <c r="M31" i="7"/>
  <c r="M32" i="7"/>
  <c r="N32" i="7" s="1"/>
  <c r="M33" i="7"/>
  <c r="M34" i="7"/>
  <c r="Q34" i="7" s="1"/>
  <c r="M35" i="7"/>
  <c r="M36" i="7"/>
  <c r="P36" i="7" s="1"/>
  <c r="M37" i="7"/>
  <c r="M38" i="7"/>
  <c r="Q38" i="7" s="1"/>
  <c r="M39" i="7"/>
  <c r="M40" i="7"/>
  <c r="P40" i="7" s="1"/>
  <c r="M41" i="7"/>
  <c r="M42" i="7"/>
  <c r="M43" i="7"/>
  <c r="M44" i="7"/>
  <c r="P44" i="7" s="1"/>
  <c r="M45" i="7"/>
  <c r="M46" i="7"/>
  <c r="P46" i="7" s="1"/>
  <c r="M47" i="7"/>
  <c r="N47" i="7" s="1"/>
  <c r="M48" i="7"/>
  <c r="N48" i="7" s="1"/>
  <c r="O48" i="7" s="1"/>
  <c r="M49" i="7"/>
  <c r="M50" i="7"/>
  <c r="M51" i="7"/>
  <c r="P51" i="7" s="1"/>
  <c r="M4" i="7"/>
  <c r="P4" i="7" s="1"/>
  <c r="F5" i="7"/>
  <c r="J5" i="7" s="1"/>
  <c r="F6" i="7"/>
  <c r="J6" i="7" s="1"/>
  <c r="F7" i="7"/>
  <c r="F8" i="7"/>
  <c r="F9" i="7"/>
  <c r="J9" i="7" s="1"/>
  <c r="F10" i="7"/>
  <c r="J10" i="7" s="1"/>
  <c r="F11" i="7"/>
  <c r="K11" i="7" s="1"/>
  <c r="F12" i="7"/>
  <c r="K12" i="7" s="1"/>
  <c r="F13" i="7"/>
  <c r="J13" i="7" s="1"/>
  <c r="F14" i="7"/>
  <c r="J14" i="7" s="1"/>
  <c r="F15" i="7"/>
  <c r="F16" i="7"/>
  <c r="K16" i="7" s="1"/>
  <c r="F17" i="7"/>
  <c r="F18" i="7"/>
  <c r="L18" i="7" s="1"/>
  <c r="F19" i="7"/>
  <c r="F20" i="7"/>
  <c r="I20" i="7" s="1"/>
  <c r="F21" i="7"/>
  <c r="F22" i="7"/>
  <c r="F23" i="7"/>
  <c r="F24" i="7"/>
  <c r="J24" i="7" s="1"/>
  <c r="F25" i="7"/>
  <c r="F26" i="7"/>
  <c r="F27" i="7"/>
  <c r="F28" i="7"/>
  <c r="G28" i="7" s="1"/>
  <c r="F29" i="7"/>
  <c r="F30" i="7"/>
  <c r="F31" i="7"/>
  <c r="F32" i="7"/>
  <c r="J32" i="7" s="1"/>
  <c r="F33" i="7"/>
  <c r="F34" i="7"/>
  <c r="J34" i="7" s="1"/>
  <c r="F35" i="7"/>
  <c r="F36" i="7"/>
  <c r="I36" i="7" s="1"/>
  <c r="F37" i="7"/>
  <c r="F38" i="7"/>
  <c r="F39" i="7"/>
  <c r="F40" i="7"/>
  <c r="J40" i="7" s="1"/>
  <c r="F41" i="7"/>
  <c r="K41" i="7" s="1"/>
  <c r="F42" i="7"/>
  <c r="G42" i="7" s="1"/>
  <c r="F43" i="7"/>
  <c r="I43" i="7" s="1"/>
  <c r="F44" i="7"/>
  <c r="I44" i="7" s="1"/>
  <c r="F45" i="7"/>
  <c r="J45" i="7" s="1"/>
  <c r="F46" i="7"/>
  <c r="I46" i="7" s="1"/>
  <c r="F47" i="7"/>
  <c r="J47" i="7" s="1"/>
  <c r="F48" i="7"/>
  <c r="F49" i="7"/>
  <c r="F50" i="7"/>
  <c r="J50" i="7" s="1"/>
  <c r="F51" i="7"/>
  <c r="I51" i="7" s="1"/>
  <c r="F4" i="7"/>
  <c r="E51" i="7"/>
  <c r="AE50" i="7"/>
  <c r="V50" i="7"/>
  <c r="N50" i="7"/>
  <c r="E50" i="7"/>
  <c r="E49" i="7"/>
  <c r="S48" i="7"/>
  <c r="T48" i="7" s="1"/>
  <c r="E48" i="7"/>
  <c r="E47" i="7"/>
  <c r="AE46" i="7"/>
  <c r="AF46" i="7" s="1"/>
  <c r="AB46" i="7"/>
  <c r="N46" i="7"/>
  <c r="O46" i="7" s="1"/>
  <c r="E46" i="7"/>
  <c r="AE45" i="7"/>
  <c r="I45" i="7"/>
  <c r="E45" i="7"/>
  <c r="AE44" i="7"/>
  <c r="AF44" i="7" s="1"/>
  <c r="N44" i="7"/>
  <c r="E44" i="7"/>
  <c r="E43" i="7"/>
  <c r="W43" i="7" s="1"/>
  <c r="Y42" i="7"/>
  <c r="K42" i="7"/>
  <c r="E42" i="7"/>
  <c r="W42" i="7" s="1"/>
  <c r="AE41" i="7"/>
  <c r="AF41" i="7" s="1"/>
  <c r="E41" i="7"/>
  <c r="W41" i="7" s="1"/>
  <c r="AE40" i="7"/>
  <c r="AF40" i="7" s="1"/>
  <c r="AB40" i="7"/>
  <c r="AC40" i="7" s="1"/>
  <c r="S40" i="7"/>
  <c r="T40" i="7" s="1"/>
  <c r="I40" i="7"/>
  <c r="E40" i="7"/>
  <c r="W40" i="7" s="1"/>
  <c r="W39" i="7"/>
  <c r="E39" i="7"/>
  <c r="AB38" i="7"/>
  <c r="AC38" i="7" s="1"/>
  <c r="Y38" i="7"/>
  <c r="G38" i="7"/>
  <c r="E38" i="7"/>
  <c r="W38" i="7" s="1"/>
  <c r="AE37" i="7"/>
  <c r="AF37" i="7" s="1"/>
  <c r="J37" i="7"/>
  <c r="E37" i="7"/>
  <c r="W37" i="7" s="1"/>
  <c r="J36" i="7"/>
  <c r="E36" i="7"/>
  <c r="W36" i="7" s="1"/>
  <c r="E35" i="7"/>
  <c r="AE34" i="7"/>
  <c r="AF34" i="7" s="1"/>
  <c r="AB34" i="7"/>
  <c r="AC34" i="7" s="1"/>
  <c r="P34" i="7"/>
  <c r="I34" i="7"/>
  <c r="E34" i="7"/>
  <c r="S33" i="7"/>
  <c r="T33" i="7" s="1"/>
  <c r="N33" i="7"/>
  <c r="O33" i="7" s="1"/>
  <c r="E33" i="7"/>
  <c r="S32" i="7"/>
  <c r="P32" i="7"/>
  <c r="E32" i="7"/>
  <c r="E31" i="7"/>
  <c r="V30" i="7"/>
  <c r="P30" i="7"/>
  <c r="K30" i="7"/>
  <c r="E30" i="7"/>
  <c r="AB29" i="7"/>
  <c r="AC29" i="7" s="1"/>
  <c r="E29" i="7"/>
  <c r="AE28" i="7"/>
  <c r="Y28" i="7"/>
  <c r="Z28" i="7" s="1"/>
  <c r="V28" i="7"/>
  <c r="J28" i="7"/>
  <c r="E28" i="7"/>
  <c r="E27" i="7"/>
  <c r="V26" i="7"/>
  <c r="J26" i="7"/>
  <c r="K26" i="7"/>
  <c r="E26" i="7"/>
  <c r="AB25" i="7"/>
  <c r="E25" i="7"/>
  <c r="AB24" i="7"/>
  <c r="AC24" i="7" s="1"/>
  <c r="S24" i="7"/>
  <c r="T24" i="7" s="1"/>
  <c r="E24" i="7"/>
  <c r="E23" i="7"/>
  <c r="AE22" i="7"/>
  <c r="AB22" i="7"/>
  <c r="I22" i="7"/>
  <c r="E22" i="7"/>
  <c r="S21" i="7"/>
  <c r="T21" i="7" s="1"/>
  <c r="E21" i="7"/>
  <c r="S20" i="7"/>
  <c r="T20" i="7" s="1"/>
  <c r="K20" i="7"/>
  <c r="E20" i="7"/>
  <c r="E19" i="7"/>
  <c r="AE18" i="7"/>
  <c r="N18" i="7"/>
  <c r="I18" i="7"/>
  <c r="E18" i="7"/>
  <c r="Y17" i="7"/>
  <c r="V17" i="7"/>
  <c r="W17" i="7" s="1"/>
  <c r="J17" i="7"/>
  <c r="E17" i="7"/>
  <c r="AE16" i="7"/>
  <c r="AF16" i="7" s="1"/>
  <c r="S16" i="7"/>
  <c r="T16" i="7" s="1"/>
  <c r="Q16" i="7"/>
  <c r="E16" i="7"/>
  <c r="E15" i="7"/>
  <c r="AB14" i="7"/>
  <c r="I14" i="7"/>
  <c r="E14" i="7"/>
  <c r="S13" i="7"/>
  <c r="E13" i="7"/>
  <c r="AE12" i="7"/>
  <c r="Q12" i="7"/>
  <c r="E12" i="7"/>
  <c r="E11" i="7"/>
  <c r="AE10" i="7"/>
  <c r="S10" i="7"/>
  <c r="I10" i="7"/>
  <c r="E10" i="7"/>
  <c r="AB9" i="7"/>
  <c r="AC9" i="7" s="1"/>
  <c r="N9" i="7"/>
  <c r="O9" i="7" s="1"/>
  <c r="P9" i="7"/>
  <c r="E9" i="7"/>
  <c r="AB8" i="7"/>
  <c r="AC8" i="7" s="1"/>
  <c r="S8" i="7"/>
  <c r="T8" i="7" s="1"/>
  <c r="K8" i="7"/>
  <c r="E8" i="7"/>
  <c r="E7" i="7"/>
  <c r="AB6" i="7"/>
  <c r="L6" i="7"/>
  <c r="I6" i="7"/>
  <c r="E6" i="7"/>
  <c r="Q5" i="7"/>
  <c r="E5" i="7"/>
  <c r="A5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E4" i="7"/>
  <c r="Y4" i="7"/>
  <c r="V4" i="7"/>
  <c r="S4" i="7"/>
  <c r="Q4" i="7"/>
  <c r="J4" i="7"/>
  <c r="E4" i="7"/>
  <c r="AD5" i="6"/>
  <c r="AD6" i="6"/>
  <c r="AE6" i="6" s="1"/>
  <c r="AD7" i="6"/>
  <c r="AE7" i="6" s="1"/>
  <c r="AF7" i="6" s="1"/>
  <c r="AD8" i="6"/>
  <c r="AE8" i="6" s="1"/>
  <c r="AD9" i="6"/>
  <c r="AE9" i="6" s="1"/>
  <c r="AF9" i="6" s="1"/>
  <c r="AD10" i="6"/>
  <c r="AD11" i="6"/>
  <c r="AE11" i="6" s="1"/>
  <c r="AF11" i="6" s="1"/>
  <c r="AD12" i="6"/>
  <c r="AE12" i="6" s="1"/>
  <c r="AD13" i="6"/>
  <c r="AE13" i="6" s="1"/>
  <c r="AD14" i="6"/>
  <c r="AE14" i="6" s="1"/>
  <c r="AF14" i="6" s="1"/>
  <c r="AD15" i="6"/>
  <c r="AE15" i="6" s="1"/>
  <c r="AF15" i="6" s="1"/>
  <c r="AD16" i="6"/>
  <c r="AE16" i="6" s="1"/>
  <c r="AD17" i="6"/>
  <c r="AE17" i="6" s="1"/>
  <c r="AF17" i="6" s="1"/>
  <c r="AD18" i="6"/>
  <c r="AE18" i="6" s="1"/>
  <c r="AD19" i="6"/>
  <c r="AE19" i="6" s="1"/>
  <c r="AF19" i="6" s="1"/>
  <c r="AD20" i="6"/>
  <c r="AE20" i="6" s="1"/>
  <c r="AD21" i="6"/>
  <c r="AE21" i="6" s="1"/>
  <c r="AD22" i="6"/>
  <c r="AD23" i="6"/>
  <c r="AD24" i="6"/>
  <c r="AD25" i="6"/>
  <c r="AE25" i="6" s="1"/>
  <c r="AD26" i="6"/>
  <c r="AE26" i="6" s="1"/>
  <c r="AF26" i="6" s="1"/>
  <c r="AD27" i="6"/>
  <c r="AE27" i="6" s="1"/>
  <c r="AD28" i="6"/>
  <c r="AE28" i="6" s="1"/>
  <c r="AF28" i="6" s="1"/>
  <c r="AD29" i="6"/>
  <c r="AE29" i="6" s="1"/>
  <c r="AF29" i="6" s="1"/>
  <c r="AD30" i="6"/>
  <c r="AE30" i="6" s="1"/>
  <c r="AD31" i="6"/>
  <c r="AE31" i="6" s="1"/>
  <c r="AF31" i="6" s="1"/>
  <c r="AD32" i="6"/>
  <c r="AE32" i="6" s="1"/>
  <c r="AF32" i="6" s="1"/>
  <c r="AD33" i="6"/>
  <c r="AE33" i="6" s="1"/>
  <c r="AD34" i="6"/>
  <c r="AE34" i="6" s="1"/>
  <c r="AF34" i="6" s="1"/>
  <c r="AD35" i="6"/>
  <c r="AE35" i="6" s="1"/>
  <c r="AF35" i="6" s="1"/>
  <c r="AD36" i="6"/>
  <c r="AE36" i="6" s="1"/>
  <c r="AD37" i="6"/>
  <c r="AE37" i="6" s="1"/>
  <c r="AF37" i="6" s="1"/>
  <c r="AD38" i="6"/>
  <c r="AE38" i="6" s="1"/>
  <c r="AD39" i="6"/>
  <c r="AD40" i="6"/>
  <c r="AD41" i="6"/>
  <c r="AE41" i="6" s="1"/>
  <c r="AD42" i="6"/>
  <c r="AD43" i="6"/>
  <c r="AE43" i="6" s="1"/>
  <c r="AF43" i="6" s="1"/>
  <c r="AD44" i="6"/>
  <c r="AE44" i="6" s="1"/>
  <c r="AD45" i="6"/>
  <c r="AE45" i="6" s="1"/>
  <c r="AD46" i="6"/>
  <c r="AE46" i="6" s="1"/>
  <c r="AF46" i="6" s="1"/>
  <c r="AD47" i="6"/>
  <c r="AE47" i="6" s="1"/>
  <c r="AF47" i="6" s="1"/>
  <c r="AD48" i="6"/>
  <c r="AE48" i="6" s="1"/>
  <c r="AD49" i="6"/>
  <c r="AE49" i="6" s="1"/>
  <c r="AD50" i="6"/>
  <c r="AE50" i="6" s="1"/>
  <c r="AD51" i="6"/>
  <c r="AE51" i="6" s="1"/>
  <c r="AF51" i="6" s="1"/>
  <c r="AD4" i="6"/>
  <c r="AE4" i="6" s="1"/>
  <c r="AA5" i="6"/>
  <c r="AB5" i="6" s="1"/>
  <c r="AC5" i="6" s="1"/>
  <c r="AA6" i="6"/>
  <c r="AA7" i="6"/>
  <c r="AB7" i="6" s="1"/>
  <c r="AC7" i="6" s="1"/>
  <c r="AA8" i="6"/>
  <c r="AA9" i="6"/>
  <c r="AB9" i="6" s="1"/>
  <c r="AA10" i="6"/>
  <c r="AB10" i="6" s="1"/>
  <c r="AC10" i="6" s="1"/>
  <c r="AA11" i="6"/>
  <c r="AB11" i="6" s="1"/>
  <c r="AC11" i="6" s="1"/>
  <c r="AA12" i="6"/>
  <c r="AA13" i="6"/>
  <c r="AB13" i="6" s="1"/>
  <c r="AA14" i="6"/>
  <c r="AA15" i="6"/>
  <c r="AB15" i="6" s="1"/>
  <c r="AC15" i="6" s="1"/>
  <c r="AA16" i="6"/>
  <c r="AB16" i="6" s="1"/>
  <c r="AC16" i="6" s="1"/>
  <c r="AA17" i="6"/>
  <c r="AB17" i="6" s="1"/>
  <c r="AA18" i="6"/>
  <c r="AB18" i="6" s="1"/>
  <c r="AA19" i="6"/>
  <c r="AB19" i="6" s="1"/>
  <c r="AC19" i="6" s="1"/>
  <c r="AA20" i="6"/>
  <c r="AB20" i="6" s="1"/>
  <c r="AA21" i="6"/>
  <c r="AB21" i="6" s="1"/>
  <c r="AA22" i="6"/>
  <c r="AB22" i="6" s="1"/>
  <c r="AA23" i="6"/>
  <c r="AB23" i="6" s="1"/>
  <c r="AC23" i="6" s="1"/>
  <c r="AA24" i="6"/>
  <c r="AB24" i="6" s="1"/>
  <c r="AA25" i="6"/>
  <c r="AA26" i="6"/>
  <c r="AA27" i="6"/>
  <c r="AB27" i="6" s="1"/>
  <c r="AA28" i="6"/>
  <c r="AB28" i="6" s="1"/>
  <c r="AA29" i="6"/>
  <c r="AB29" i="6" s="1"/>
  <c r="AA30" i="6"/>
  <c r="AB30" i="6" s="1"/>
  <c r="AA31" i="6"/>
  <c r="AB31" i="6" s="1"/>
  <c r="AA32" i="6"/>
  <c r="AB32" i="6" s="1"/>
  <c r="AA33" i="6"/>
  <c r="AB33" i="6" s="1"/>
  <c r="AA34" i="6"/>
  <c r="AB34" i="6" s="1"/>
  <c r="AC34" i="6" s="1"/>
  <c r="AA35" i="6"/>
  <c r="AB35" i="6" s="1"/>
  <c r="AC35" i="6" s="1"/>
  <c r="AA36" i="6"/>
  <c r="AB36" i="6" s="1"/>
  <c r="AC36" i="6" s="1"/>
  <c r="AA37" i="6"/>
  <c r="AB37" i="6" s="1"/>
  <c r="AC37" i="6" s="1"/>
  <c r="AA38" i="6"/>
  <c r="AB38" i="6" s="1"/>
  <c r="AA39" i="6"/>
  <c r="AB39" i="6" s="1"/>
  <c r="AA40" i="6"/>
  <c r="AA41" i="6"/>
  <c r="AB41" i="6" s="1"/>
  <c r="AA42" i="6"/>
  <c r="AB42" i="6" s="1"/>
  <c r="AA43" i="6"/>
  <c r="AB43" i="6" s="1"/>
  <c r="AC43" i="6" s="1"/>
  <c r="AA44" i="6"/>
  <c r="AB44" i="6" s="1"/>
  <c r="AA45" i="6"/>
  <c r="AB45" i="6" s="1"/>
  <c r="AA46" i="6"/>
  <c r="AB46" i="6" s="1"/>
  <c r="AC46" i="6" s="1"/>
  <c r="AA47" i="6"/>
  <c r="AB47" i="6" s="1"/>
  <c r="AC47" i="6" s="1"/>
  <c r="AA48" i="6"/>
  <c r="AA49" i="6"/>
  <c r="AB49" i="6" s="1"/>
  <c r="AA50" i="6"/>
  <c r="AB50" i="6" s="1"/>
  <c r="AC50" i="6" s="1"/>
  <c r="AA51" i="6"/>
  <c r="AB51" i="6" s="1"/>
  <c r="AC51" i="6" s="1"/>
  <c r="AA4" i="6"/>
  <c r="AB4" i="6" s="1"/>
  <c r="X5" i="6"/>
  <c r="Y5" i="6" s="1"/>
  <c r="Z5" i="6" s="1"/>
  <c r="X6" i="6"/>
  <c r="Y6" i="6" s="1"/>
  <c r="X7" i="6"/>
  <c r="Y7" i="6" s="1"/>
  <c r="Z7" i="6" s="1"/>
  <c r="X8" i="6"/>
  <c r="Y8" i="6" s="1"/>
  <c r="X9" i="6"/>
  <c r="Y9" i="6" s="1"/>
  <c r="X10" i="6"/>
  <c r="Y10" i="6" s="1"/>
  <c r="Z10" i="6" s="1"/>
  <c r="X11" i="6"/>
  <c r="Y11" i="6" s="1"/>
  <c r="Z11" i="6" s="1"/>
  <c r="X12" i="6"/>
  <c r="X13" i="6"/>
  <c r="Y13" i="6" s="1"/>
  <c r="Z13" i="6" s="1"/>
  <c r="X14" i="6"/>
  <c r="Y14" i="6" s="1"/>
  <c r="Z14" i="6" s="1"/>
  <c r="X15" i="6"/>
  <c r="Y15" i="6" s="1"/>
  <c r="Z15" i="6" s="1"/>
  <c r="X16" i="6"/>
  <c r="X17" i="6"/>
  <c r="Y17" i="6" s="1"/>
  <c r="X18" i="6"/>
  <c r="Y18" i="6" s="1"/>
  <c r="X19" i="6"/>
  <c r="Y19" i="6" s="1"/>
  <c r="Z19" i="6" s="1"/>
  <c r="X20" i="6"/>
  <c r="X21" i="6"/>
  <c r="Y21" i="6" s="1"/>
  <c r="X22" i="6"/>
  <c r="X23" i="6"/>
  <c r="Y23" i="6" s="1"/>
  <c r="X24" i="6"/>
  <c r="Y24" i="6" s="1"/>
  <c r="X25" i="6"/>
  <c r="Y25" i="6" s="1"/>
  <c r="X26" i="6"/>
  <c r="Y26" i="6" s="1"/>
  <c r="Z26" i="6" s="1"/>
  <c r="X27" i="6"/>
  <c r="Y27" i="6" s="1"/>
  <c r="Z27" i="6" s="1"/>
  <c r="X28" i="6"/>
  <c r="Y28" i="6" s="1"/>
  <c r="Z28" i="6" s="1"/>
  <c r="X29" i="6"/>
  <c r="Y29" i="6" s="1"/>
  <c r="Z29" i="6" s="1"/>
  <c r="X30" i="6"/>
  <c r="X31" i="6"/>
  <c r="Y31" i="6" s="1"/>
  <c r="Z31" i="6" s="1"/>
  <c r="X32" i="6"/>
  <c r="X33" i="6"/>
  <c r="Y33" i="6" s="1"/>
  <c r="X34" i="6"/>
  <c r="Y34" i="6" s="1"/>
  <c r="Z34" i="6" s="1"/>
  <c r="X35" i="6"/>
  <c r="Y35" i="6" s="1"/>
  <c r="Z35" i="6" s="1"/>
  <c r="X36" i="6"/>
  <c r="X37" i="6"/>
  <c r="Y37" i="6" s="1"/>
  <c r="X38" i="6"/>
  <c r="Y38" i="6" s="1"/>
  <c r="Z38" i="6" s="1"/>
  <c r="X39" i="6"/>
  <c r="Y39" i="6" s="1"/>
  <c r="X40" i="6"/>
  <c r="Y40" i="6" s="1"/>
  <c r="X41" i="6"/>
  <c r="X42" i="6"/>
  <c r="Y42" i="6" s="1"/>
  <c r="X43" i="6"/>
  <c r="Y43" i="6" s="1"/>
  <c r="X44" i="6"/>
  <c r="Y44" i="6" s="1"/>
  <c r="X45" i="6"/>
  <c r="Y45" i="6" s="1"/>
  <c r="Z45" i="6" s="1"/>
  <c r="X46" i="6"/>
  <c r="Y46" i="6" s="1"/>
  <c r="Z46" i="6" s="1"/>
  <c r="X47" i="6"/>
  <c r="Y47" i="6" s="1"/>
  <c r="Z47" i="6" s="1"/>
  <c r="X48" i="6"/>
  <c r="Y48" i="6" s="1"/>
  <c r="X49" i="6"/>
  <c r="Y49" i="6" s="1"/>
  <c r="X50" i="6"/>
  <c r="Y50" i="6" s="1"/>
  <c r="X51" i="6"/>
  <c r="Y51" i="6" s="1"/>
  <c r="Z51" i="6" s="1"/>
  <c r="X4" i="6"/>
  <c r="Y4" i="6" s="1"/>
  <c r="U5" i="6"/>
  <c r="V5" i="6" s="1"/>
  <c r="W5" i="6" s="1"/>
  <c r="U6" i="6"/>
  <c r="U7" i="6"/>
  <c r="V7" i="6" s="1"/>
  <c r="W7" i="6" s="1"/>
  <c r="U8" i="6"/>
  <c r="V8" i="6" s="1"/>
  <c r="U9" i="6"/>
  <c r="V9" i="6" s="1"/>
  <c r="U10" i="6"/>
  <c r="V10" i="6" s="1"/>
  <c r="U11" i="6"/>
  <c r="V11" i="6" s="1"/>
  <c r="W11" i="6" s="1"/>
  <c r="U12" i="6"/>
  <c r="V12" i="6" s="1"/>
  <c r="U13" i="6"/>
  <c r="V13" i="6" s="1"/>
  <c r="W13" i="6" s="1"/>
  <c r="U14" i="6"/>
  <c r="V14" i="6" s="1"/>
  <c r="W14" i="6" s="1"/>
  <c r="U15" i="6"/>
  <c r="V15" i="6" s="1"/>
  <c r="W15" i="6" s="1"/>
  <c r="U16" i="6"/>
  <c r="U17" i="6"/>
  <c r="V17" i="6" s="1"/>
  <c r="W17" i="6" s="1"/>
  <c r="U18" i="6"/>
  <c r="V18" i="6" s="1"/>
  <c r="U19" i="6"/>
  <c r="V19" i="6" s="1"/>
  <c r="W19" i="6" s="1"/>
  <c r="U20" i="6"/>
  <c r="U21" i="6"/>
  <c r="V21" i="6" s="1"/>
  <c r="U22" i="6"/>
  <c r="V22" i="6" s="1"/>
  <c r="U23" i="6"/>
  <c r="V23" i="6" s="1"/>
  <c r="W23" i="6" s="1"/>
  <c r="U24" i="6"/>
  <c r="V24" i="6" s="1"/>
  <c r="U25" i="6"/>
  <c r="V25" i="6" s="1"/>
  <c r="U26" i="6"/>
  <c r="U27" i="6"/>
  <c r="V27" i="6" s="1"/>
  <c r="W27" i="6" s="1"/>
  <c r="U28" i="6"/>
  <c r="U29" i="6"/>
  <c r="V29" i="6" s="1"/>
  <c r="W29" i="6" s="1"/>
  <c r="U30" i="6"/>
  <c r="V30" i="6" s="1"/>
  <c r="U31" i="6"/>
  <c r="U32" i="6"/>
  <c r="U33" i="6"/>
  <c r="V33" i="6" s="1"/>
  <c r="U34" i="6"/>
  <c r="V34" i="6" s="1"/>
  <c r="W34" i="6" s="1"/>
  <c r="U35" i="6"/>
  <c r="V35" i="6" s="1"/>
  <c r="W35" i="6" s="1"/>
  <c r="U36" i="6"/>
  <c r="U37" i="6"/>
  <c r="U38" i="6"/>
  <c r="U39" i="6"/>
  <c r="U40" i="6"/>
  <c r="U41" i="6"/>
  <c r="U42" i="6"/>
  <c r="U43" i="6"/>
  <c r="U44" i="6"/>
  <c r="U45" i="6"/>
  <c r="V45" i="6" s="1"/>
  <c r="U46" i="6"/>
  <c r="V46" i="6" s="1"/>
  <c r="W46" i="6" s="1"/>
  <c r="U47" i="6"/>
  <c r="V47" i="6" s="1"/>
  <c r="W47" i="6" s="1"/>
  <c r="U48" i="6"/>
  <c r="U49" i="6"/>
  <c r="U50" i="6"/>
  <c r="V50" i="6" s="1"/>
  <c r="U51" i="6"/>
  <c r="V51" i="6" s="1"/>
  <c r="W51" i="6" s="1"/>
  <c r="U4" i="6"/>
  <c r="R5" i="6"/>
  <c r="S5" i="6" s="1"/>
  <c r="T5" i="6" s="1"/>
  <c r="R6" i="6"/>
  <c r="S6" i="6" s="1"/>
  <c r="R7" i="6"/>
  <c r="S7" i="6" s="1"/>
  <c r="T7" i="6" s="1"/>
  <c r="R8" i="6"/>
  <c r="S8" i="6" s="1"/>
  <c r="R9" i="6"/>
  <c r="S9" i="6" s="1"/>
  <c r="R10" i="6"/>
  <c r="S10" i="6" s="1"/>
  <c r="R11" i="6"/>
  <c r="S11" i="6" s="1"/>
  <c r="T11" i="6" s="1"/>
  <c r="R12" i="6"/>
  <c r="S12" i="6" s="1"/>
  <c r="R13" i="6"/>
  <c r="S13" i="6" s="1"/>
  <c r="R14" i="6"/>
  <c r="S14" i="6" s="1"/>
  <c r="T14" i="6" s="1"/>
  <c r="R15" i="6"/>
  <c r="S15" i="6" s="1"/>
  <c r="T15" i="6" s="1"/>
  <c r="R16" i="6"/>
  <c r="S16" i="6" s="1"/>
  <c r="R17" i="6"/>
  <c r="S17" i="6" s="1"/>
  <c r="T17" i="6" s="1"/>
  <c r="R18" i="6"/>
  <c r="S18" i="6" s="1"/>
  <c r="R19" i="6"/>
  <c r="S19" i="6" s="1"/>
  <c r="T19" i="6" s="1"/>
  <c r="R20" i="6"/>
  <c r="S20" i="6" s="1"/>
  <c r="R21" i="6"/>
  <c r="S21" i="6" s="1"/>
  <c r="R22" i="6"/>
  <c r="S22" i="6" s="1"/>
  <c r="R23" i="6"/>
  <c r="S23" i="6" s="1"/>
  <c r="R24" i="6"/>
  <c r="S24" i="6" s="1"/>
  <c r="R25" i="6"/>
  <c r="S25" i="6" s="1"/>
  <c r="R26" i="6"/>
  <c r="S26" i="6" s="1"/>
  <c r="T26" i="6" s="1"/>
  <c r="R27" i="6"/>
  <c r="S27" i="6" s="1"/>
  <c r="R28" i="6"/>
  <c r="S28" i="6" s="1"/>
  <c r="R29" i="6"/>
  <c r="S29" i="6" s="1"/>
  <c r="R30" i="6"/>
  <c r="S30" i="6" s="1"/>
  <c r="R31" i="6"/>
  <c r="S31" i="6" s="1"/>
  <c r="T31" i="6" s="1"/>
  <c r="R32" i="6"/>
  <c r="S32" i="6" s="1"/>
  <c r="R33" i="6"/>
  <c r="R34" i="6"/>
  <c r="S34" i="6" s="1"/>
  <c r="T34" i="6" s="1"/>
  <c r="R35" i="6"/>
  <c r="S35" i="6" s="1"/>
  <c r="T35" i="6" s="1"/>
  <c r="R36" i="6"/>
  <c r="S36" i="6" s="1"/>
  <c r="R37" i="6"/>
  <c r="S37" i="6" s="1"/>
  <c r="R38" i="6"/>
  <c r="R39" i="6"/>
  <c r="R40" i="6"/>
  <c r="S40" i="6" s="1"/>
  <c r="R41" i="6"/>
  <c r="S41" i="6" s="1"/>
  <c r="R42" i="6"/>
  <c r="S42" i="6" s="1"/>
  <c r="R43" i="6"/>
  <c r="S43" i="6" s="1"/>
  <c r="T43" i="6" s="1"/>
  <c r="R44" i="6"/>
  <c r="S44" i="6" s="1"/>
  <c r="R45" i="6"/>
  <c r="S45" i="6" s="1"/>
  <c r="R46" i="6"/>
  <c r="S46" i="6" s="1"/>
  <c r="T46" i="6" s="1"/>
  <c r="R47" i="6"/>
  <c r="S47" i="6" s="1"/>
  <c r="T47" i="6" s="1"/>
  <c r="R48" i="6"/>
  <c r="S48" i="6" s="1"/>
  <c r="R49" i="6"/>
  <c r="S49" i="6" s="1"/>
  <c r="R50" i="6"/>
  <c r="S50" i="6" s="1"/>
  <c r="T50" i="6" s="1"/>
  <c r="R51" i="6"/>
  <c r="S51" i="6" s="1"/>
  <c r="T51" i="6" s="1"/>
  <c r="R4" i="6"/>
  <c r="S4" i="6" s="1"/>
  <c r="M5" i="6"/>
  <c r="M6" i="6"/>
  <c r="P6" i="6" s="1"/>
  <c r="M7" i="6"/>
  <c r="M8" i="6"/>
  <c r="M9" i="6"/>
  <c r="M10" i="6"/>
  <c r="Q10" i="6" s="1"/>
  <c r="M11" i="6"/>
  <c r="M12" i="6"/>
  <c r="Q12" i="6" s="1"/>
  <c r="M13" i="6"/>
  <c r="N13" i="6" s="1"/>
  <c r="M14" i="6"/>
  <c r="Q14" i="6" s="1"/>
  <c r="M15" i="6"/>
  <c r="Q15" i="6" s="1"/>
  <c r="M16" i="6"/>
  <c r="N16" i="6" s="1"/>
  <c r="O16" i="6" s="1"/>
  <c r="M17" i="6"/>
  <c r="M18" i="6"/>
  <c r="N18" i="6" s="1"/>
  <c r="M19" i="6"/>
  <c r="Q19" i="6" s="1"/>
  <c r="M20" i="6"/>
  <c r="P20" i="6" s="1"/>
  <c r="M21" i="6"/>
  <c r="P21" i="6" s="1"/>
  <c r="M22" i="6"/>
  <c r="P22" i="6" s="1"/>
  <c r="M23" i="6"/>
  <c r="P23" i="6" s="1"/>
  <c r="M24" i="6"/>
  <c r="M25" i="6"/>
  <c r="M26" i="6"/>
  <c r="P26" i="6" s="1"/>
  <c r="M27" i="6"/>
  <c r="M28" i="6"/>
  <c r="Q28" i="6" s="1"/>
  <c r="M29" i="6"/>
  <c r="M30" i="6"/>
  <c r="M31" i="6"/>
  <c r="Q31" i="6" s="1"/>
  <c r="M32" i="6"/>
  <c r="N32" i="6" s="1"/>
  <c r="M33" i="6"/>
  <c r="M34" i="6"/>
  <c r="P34" i="6" s="1"/>
  <c r="M35" i="6"/>
  <c r="M36" i="6"/>
  <c r="N36" i="6" s="1"/>
  <c r="M37" i="6"/>
  <c r="M38" i="6"/>
  <c r="M39" i="6"/>
  <c r="M40" i="6"/>
  <c r="P40" i="6" s="1"/>
  <c r="M41" i="6"/>
  <c r="P41" i="6" s="1"/>
  <c r="M42" i="6"/>
  <c r="M43" i="6"/>
  <c r="Q43" i="6" s="1"/>
  <c r="M44" i="6"/>
  <c r="P44" i="6" s="1"/>
  <c r="M45" i="6"/>
  <c r="P45" i="6" s="1"/>
  <c r="M46" i="6"/>
  <c r="N46" i="6" s="1"/>
  <c r="O46" i="6" s="1"/>
  <c r="M47" i="6"/>
  <c r="Q47" i="6" s="1"/>
  <c r="M48" i="6"/>
  <c r="Q48" i="6" s="1"/>
  <c r="M49" i="6"/>
  <c r="M50" i="6"/>
  <c r="M51" i="6"/>
  <c r="M4" i="6"/>
  <c r="F5" i="6"/>
  <c r="L5" i="6" s="1"/>
  <c r="F6" i="6"/>
  <c r="F7" i="6"/>
  <c r="L7" i="6" s="1"/>
  <c r="F8" i="6"/>
  <c r="K8" i="6" s="1"/>
  <c r="F9" i="6"/>
  <c r="F10" i="6"/>
  <c r="F11" i="6"/>
  <c r="L11" i="6" s="1"/>
  <c r="F12" i="6"/>
  <c r="I12" i="6" s="1"/>
  <c r="F13" i="6"/>
  <c r="F14" i="6"/>
  <c r="K14" i="6" s="1"/>
  <c r="F15" i="6"/>
  <c r="F16" i="6"/>
  <c r="L16" i="6" s="1"/>
  <c r="F17" i="6"/>
  <c r="F18" i="6"/>
  <c r="K18" i="6" s="1"/>
  <c r="F19" i="6"/>
  <c r="F20" i="6"/>
  <c r="J20" i="6" s="1"/>
  <c r="F21" i="6"/>
  <c r="J21" i="6" s="1"/>
  <c r="F22" i="6"/>
  <c r="F23" i="6"/>
  <c r="F24" i="6"/>
  <c r="I24" i="6" s="1"/>
  <c r="F25" i="6"/>
  <c r="I25" i="6" s="1"/>
  <c r="F26" i="6"/>
  <c r="I26" i="6" s="1"/>
  <c r="F27" i="6"/>
  <c r="J27" i="6" s="1"/>
  <c r="F28" i="6"/>
  <c r="I28" i="6" s="1"/>
  <c r="F29" i="6"/>
  <c r="J29" i="6" s="1"/>
  <c r="F30" i="6"/>
  <c r="I30" i="6" s="1"/>
  <c r="F31" i="6"/>
  <c r="F32" i="6"/>
  <c r="F33" i="6"/>
  <c r="F34" i="6"/>
  <c r="K34" i="6" s="1"/>
  <c r="F35" i="6"/>
  <c r="G35" i="6" s="1"/>
  <c r="H35" i="6" s="1"/>
  <c r="F36" i="6"/>
  <c r="J36" i="6" s="1"/>
  <c r="F37" i="6"/>
  <c r="K37" i="6" s="1"/>
  <c r="F38" i="6"/>
  <c r="K38" i="6" s="1"/>
  <c r="F39" i="6"/>
  <c r="F40" i="6"/>
  <c r="I40" i="6" s="1"/>
  <c r="F41" i="6"/>
  <c r="F42" i="6"/>
  <c r="K42" i="6" s="1"/>
  <c r="F43" i="6"/>
  <c r="I43" i="6" s="1"/>
  <c r="F44" i="6"/>
  <c r="I44" i="6" s="1"/>
  <c r="F45" i="6"/>
  <c r="K45" i="6" s="1"/>
  <c r="F46" i="6"/>
  <c r="F47" i="6"/>
  <c r="F48" i="6"/>
  <c r="I48" i="6" s="1"/>
  <c r="F49" i="6"/>
  <c r="G49" i="6" s="1"/>
  <c r="F50" i="6"/>
  <c r="F51" i="6"/>
  <c r="G51" i="6" s="1"/>
  <c r="H51" i="6" s="1"/>
  <c r="F4" i="6"/>
  <c r="I4" i="6" s="1"/>
  <c r="E51" i="6"/>
  <c r="N50" i="6"/>
  <c r="E50" i="6"/>
  <c r="V49" i="6"/>
  <c r="E49" i="6"/>
  <c r="AB48" i="6"/>
  <c r="V48" i="6"/>
  <c r="J48" i="6"/>
  <c r="G48" i="6"/>
  <c r="E48" i="6"/>
  <c r="E47" i="6"/>
  <c r="P46" i="6"/>
  <c r="E46" i="6"/>
  <c r="E45" i="6"/>
  <c r="V44" i="6"/>
  <c r="W44" i="6" s="1"/>
  <c r="N44" i="6"/>
  <c r="E44" i="6"/>
  <c r="E43" i="6"/>
  <c r="AE42" i="6"/>
  <c r="AF42" i="6" s="1"/>
  <c r="I42" i="6"/>
  <c r="E42" i="6"/>
  <c r="W42" i="6" s="1"/>
  <c r="Y41" i="6"/>
  <c r="Z41" i="6" s="1"/>
  <c r="E41" i="6"/>
  <c r="W41" i="6" s="1"/>
  <c r="AE40" i="6"/>
  <c r="AB40" i="6"/>
  <c r="AC40" i="6" s="1"/>
  <c r="J40" i="6"/>
  <c r="G40" i="6"/>
  <c r="E40" i="6"/>
  <c r="W40" i="6" s="1"/>
  <c r="AE39" i="6"/>
  <c r="AF39" i="6" s="1"/>
  <c r="S39" i="6"/>
  <c r="T39" i="6" s="1"/>
  <c r="E39" i="6"/>
  <c r="W39" i="6" s="1"/>
  <c r="S38" i="6"/>
  <c r="E38" i="6"/>
  <c r="W38" i="6" s="1"/>
  <c r="I37" i="6"/>
  <c r="E37" i="6"/>
  <c r="W37" i="6" s="1"/>
  <c r="Y36" i="6"/>
  <c r="P36" i="6"/>
  <c r="I36" i="6"/>
  <c r="E36" i="6"/>
  <c r="W36" i="6" s="1"/>
  <c r="E35" i="6"/>
  <c r="Q34" i="6"/>
  <c r="E34" i="6"/>
  <c r="S33" i="6"/>
  <c r="E33" i="6"/>
  <c r="Y32" i="6"/>
  <c r="Z32" i="6" s="1"/>
  <c r="V32" i="6"/>
  <c r="W32" i="6" s="1"/>
  <c r="J32" i="6"/>
  <c r="I32" i="6"/>
  <c r="E32" i="6"/>
  <c r="V31" i="6"/>
  <c r="W31" i="6" s="1"/>
  <c r="E31" i="6"/>
  <c r="Y30" i="6"/>
  <c r="J30" i="6"/>
  <c r="E30" i="6"/>
  <c r="E29" i="6"/>
  <c r="V28" i="6"/>
  <c r="W28" i="6" s="1"/>
  <c r="N28" i="6"/>
  <c r="E28" i="6"/>
  <c r="E27" i="6"/>
  <c r="AB26" i="6"/>
  <c r="AC26" i="6" s="1"/>
  <c r="V26" i="6"/>
  <c r="W26" i="6" s="1"/>
  <c r="E26" i="6"/>
  <c r="AB25" i="6"/>
  <c r="E25" i="6"/>
  <c r="AE24" i="6"/>
  <c r="AF24" i="6" s="1"/>
  <c r="P24" i="6"/>
  <c r="J24" i="6"/>
  <c r="E24" i="6"/>
  <c r="AE23" i="6"/>
  <c r="E23" i="6"/>
  <c r="AE22" i="6"/>
  <c r="Y22" i="6"/>
  <c r="E22" i="6"/>
  <c r="I21" i="6"/>
  <c r="E21" i="6"/>
  <c r="Y20" i="6"/>
  <c r="V20" i="6"/>
  <c r="E20" i="6"/>
  <c r="E19" i="6"/>
  <c r="Q18" i="6"/>
  <c r="E18" i="6"/>
  <c r="K17" i="6"/>
  <c r="E17" i="6"/>
  <c r="Y16" i="6"/>
  <c r="V16" i="6"/>
  <c r="E16" i="6"/>
  <c r="E15" i="6"/>
  <c r="AB14" i="6"/>
  <c r="AC14" i="6" s="1"/>
  <c r="I14" i="6"/>
  <c r="E14" i="6"/>
  <c r="P13" i="6"/>
  <c r="E13" i="6"/>
  <c r="AB12" i="6"/>
  <c r="Y12" i="6"/>
  <c r="Z12" i="6" s="1"/>
  <c r="K12" i="6"/>
  <c r="E12" i="6"/>
  <c r="E11" i="6"/>
  <c r="AE10" i="6"/>
  <c r="AF10" i="6" s="1"/>
  <c r="P10" i="6"/>
  <c r="E10" i="6"/>
  <c r="E9" i="6"/>
  <c r="AB8" i="6"/>
  <c r="N8" i="6"/>
  <c r="I8" i="6"/>
  <c r="E8" i="6"/>
  <c r="E7" i="6"/>
  <c r="AB6" i="6"/>
  <c r="AC6" i="6" s="1"/>
  <c r="V6" i="6"/>
  <c r="W6" i="6" s="1"/>
  <c r="I6" i="6"/>
  <c r="E6" i="6"/>
  <c r="AE5" i="6"/>
  <c r="AF5" i="6" s="1"/>
  <c r="E5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V4" i="6"/>
  <c r="P4" i="6"/>
  <c r="E4" i="6"/>
  <c r="AD5" i="5"/>
  <c r="AE5" i="5" s="1"/>
  <c r="AF5" i="5" s="1"/>
  <c r="AD6" i="5"/>
  <c r="AD7" i="5"/>
  <c r="AD8" i="5"/>
  <c r="AE8" i="5" s="1"/>
  <c r="AF8" i="5" s="1"/>
  <c r="AD9" i="5"/>
  <c r="AE9" i="5" s="1"/>
  <c r="AD10" i="5"/>
  <c r="AE10" i="5" s="1"/>
  <c r="AD11" i="5"/>
  <c r="AE11" i="5" s="1"/>
  <c r="AD12" i="5"/>
  <c r="AE12" i="5" s="1"/>
  <c r="AF12" i="5" s="1"/>
  <c r="AD13" i="5"/>
  <c r="AD14" i="5"/>
  <c r="AE14" i="5" s="1"/>
  <c r="AD15" i="5"/>
  <c r="AE15" i="5" s="1"/>
  <c r="AF15" i="5" s="1"/>
  <c r="AD16" i="5"/>
  <c r="AE16" i="5" s="1"/>
  <c r="AF16" i="5" s="1"/>
  <c r="AD17" i="5"/>
  <c r="AE17" i="5" s="1"/>
  <c r="AD18" i="5"/>
  <c r="AE18" i="5" s="1"/>
  <c r="AF18" i="5" s="1"/>
  <c r="AD19" i="5"/>
  <c r="AE19" i="5" s="1"/>
  <c r="AD20" i="5"/>
  <c r="AE20" i="5" s="1"/>
  <c r="AF20" i="5" s="1"/>
  <c r="AD21" i="5"/>
  <c r="AE21" i="5" s="1"/>
  <c r="AF21" i="5" s="1"/>
  <c r="AD22" i="5"/>
  <c r="AD23" i="5"/>
  <c r="AE23" i="5" s="1"/>
  <c r="AF23" i="5" s="1"/>
  <c r="AD24" i="5"/>
  <c r="AE24" i="5" s="1"/>
  <c r="AF24" i="5" s="1"/>
  <c r="AD25" i="5"/>
  <c r="AE25" i="5" s="1"/>
  <c r="AD26" i="5"/>
  <c r="AE26" i="5" s="1"/>
  <c r="AD27" i="5"/>
  <c r="AE27" i="5" s="1"/>
  <c r="AD28" i="5"/>
  <c r="AE28" i="5" s="1"/>
  <c r="AF28" i="5" s="1"/>
  <c r="AD29" i="5"/>
  <c r="AE29" i="5" s="1"/>
  <c r="AD30" i="5"/>
  <c r="AE30" i="5" s="1"/>
  <c r="AF30" i="5" s="1"/>
  <c r="AD31" i="5"/>
  <c r="AE31" i="5" s="1"/>
  <c r="AD32" i="5"/>
  <c r="AE32" i="5" s="1"/>
  <c r="AF32" i="5" s="1"/>
  <c r="AD33" i="5"/>
  <c r="AE33" i="5" s="1"/>
  <c r="AD34" i="5"/>
  <c r="AD35" i="5"/>
  <c r="AE35" i="5" s="1"/>
  <c r="AD36" i="5"/>
  <c r="AE36" i="5" s="1"/>
  <c r="AF36" i="5" s="1"/>
  <c r="AD37" i="5"/>
  <c r="AE37" i="5" s="1"/>
  <c r="AD38" i="5"/>
  <c r="AD39" i="5"/>
  <c r="AE39" i="5" s="1"/>
  <c r="AD40" i="5"/>
  <c r="AE40" i="5" s="1"/>
  <c r="AF40" i="5" s="1"/>
  <c r="AD41" i="5"/>
  <c r="AE41" i="5" s="1"/>
  <c r="AD42" i="5"/>
  <c r="AE42" i="5" s="1"/>
  <c r="AD43" i="5"/>
  <c r="AE43" i="5" s="1"/>
  <c r="AD44" i="5"/>
  <c r="AE44" i="5" s="1"/>
  <c r="AF44" i="5" s="1"/>
  <c r="AD45" i="5"/>
  <c r="AE45" i="5" s="1"/>
  <c r="AF45" i="5" s="1"/>
  <c r="AD46" i="5"/>
  <c r="AD47" i="5"/>
  <c r="AE47" i="5" s="1"/>
  <c r="AD48" i="5"/>
  <c r="AE48" i="5" s="1"/>
  <c r="AD49" i="5"/>
  <c r="AE49" i="5" s="1"/>
  <c r="AD50" i="5"/>
  <c r="AD51" i="5"/>
  <c r="AE51" i="5" s="1"/>
  <c r="AD4" i="5"/>
  <c r="AE4" i="5" s="1"/>
  <c r="AA5" i="5"/>
  <c r="AB5" i="5" s="1"/>
  <c r="AA6" i="5"/>
  <c r="AA7" i="5"/>
  <c r="AB7" i="5" s="1"/>
  <c r="AA8" i="5"/>
  <c r="AB8" i="5" s="1"/>
  <c r="AC8" i="5" s="1"/>
  <c r="AA9" i="5"/>
  <c r="AB9" i="5" s="1"/>
  <c r="AA10" i="5"/>
  <c r="AB10" i="5" s="1"/>
  <c r="AA11" i="5"/>
  <c r="AB11" i="5" s="1"/>
  <c r="AA12" i="5"/>
  <c r="AB12" i="5" s="1"/>
  <c r="AC12" i="5" s="1"/>
  <c r="AA13" i="5"/>
  <c r="AB13" i="5" s="1"/>
  <c r="AC13" i="5" s="1"/>
  <c r="AA14" i="5"/>
  <c r="AB14" i="5" s="1"/>
  <c r="AC14" i="5" s="1"/>
  <c r="AA15" i="5"/>
  <c r="AB15" i="5" s="1"/>
  <c r="AA16" i="5"/>
  <c r="AB16" i="5" s="1"/>
  <c r="AC16" i="5" s="1"/>
  <c r="AA17" i="5"/>
  <c r="AA18" i="5"/>
  <c r="AA19" i="5"/>
  <c r="AB19" i="5" s="1"/>
  <c r="AA20" i="5"/>
  <c r="AB20" i="5" s="1"/>
  <c r="AC20" i="5" s="1"/>
  <c r="AA21" i="5"/>
  <c r="AB21" i="5" s="1"/>
  <c r="AA22" i="5"/>
  <c r="AB22" i="5" s="1"/>
  <c r="AA23" i="5"/>
  <c r="AB23" i="5" s="1"/>
  <c r="AA24" i="5"/>
  <c r="AB24" i="5" s="1"/>
  <c r="AA25" i="5"/>
  <c r="AB25" i="5" s="1"/>
  <c r="AA26" i="5"/>
  <c r="AA27" i="5"/>
  <c r="AB27" i="5" s="1"/>
  <c r="AA28" i="5"/>
  <c r="AB28" i="5" s="1"/>
  <c r="AC28" i="5" s="1"/>
  <c r="AA29" i="5"/>
  <c r="AB29" i="5" s="1"/>
  <c r="AC29" i="5" s="1"/>
  <c r="AA30" i="5"/>
  <c r="AA31" i="5"/>
  <c r="AB31" i="5" s="1"/>
  <c r="AC31" i="5" s="1"/>
  <c r="AA32" i="5"/>
  <c r="AB32" i="5" s="1"/>
  <c r="AC32" i="5" s="1"/>
  <c r="AA33" i="5"/>
  <c r="AB33" i="5" s="1"/>
  <c r="AA34" i="5"/>
  <c r="AB34" i="5" s="1"/>
  <c r="AC34" i="5" s="1"/>
  <c r="AA35" i="5"/>
  <c r="AB35" i="5" s="1"/>
  <c r="AA36" i="5"/>
  <c r="AB36" i="5" s="1"/>
  <c r="AC36" i="5" s="1"/>
  <c r="AA37" i="5"/>
  <c r="AB37" i="5" s="1"/>
  <c r="AC37" i="5" s="1"/>
  <c r="AA38" i="5"/>
  <c r="AA39" i="5"/>
  <c r="AB39" i="5" s="1"/>
  <c r="AA40" i="5"/>
  <c r="AB40" i="5" s="1"/>
  <c r="AC40" i="5" s="1"/>
  <c r="AA41" i="5"/>
  <c r="AB41" i="5" s="1"/>
  <c r="AA42" i="5"/>
  <c r="AA43" i="5"/>
  <c r="AB43" i="5" s="1"/>
  <c r="AA44" i="5"/>
  <c r="AB44" i="5" s="1"/>
  <c r="AC44" i="5" s="1"/>
  <c r="AA45" i="5"/>
  <c r="AB45" i="5" s="1"/>
  <c r="AA46" i="5"/>
  <c r="AB46" i="5" s="1"/>
  <c r="AA47" i="5"/>
  <c r="AB47" i="5" s="1"/>
  <c r="AA48" i="5"/>
  <c r="AB48" i="5" s="1"/>
  <c r="AA49" i="5"/>
  <c r="AB49" i="5" s="1"/>
  <c r="AA50" i="5"/>
  <c r="AA51" i="5"/>
  <c r="AB51" i="5" s="1"/>
  <c r="AA4" i="5"/>
  <c r="AB4" i="5" s="1"/>
  <c r="X5" i="5"/>
  <c r="Y5" i="5" s="1"/>
  <c r="X6" i="5"/>
  <c r="Y6" i="5" s="1"/>
  <c r="X7" i="5"/>
  <c r="Y7" i="5" s="1"/>
  <c r="X8" i="5"/>
  <c r="Y8" i="5" s="1"/>
  <c r="Z8" i="5" s="1"/>
  <c r="X9" i="5"/>
  <c r="Y9" i="5" s="1"/>
  <c r="X10" i="5"/>
  <c r="X11" i="5"/>
  <c r="Y11" i="5" s="1"/>
  <c r="X12" i="5"/>
  <c r="Y12" i="5" s="1"/>
  <c r="Z12" i="5" s="1"/>
  <c r="X13" i="5"/>
  <c r="Y13" i="5" s="1"/>
  <c r="X14" i="5"/>
  <c r="X15" i="5"/>
  <c r="Y15" i="5" s="1"/>
  <c r="X16" i="5"/>
  <c r="Y16" i="5" s="1"/>
  <c r="Z16" i="5" s="1"/>
  <c r="X17" i="5"/>
  <c r="Y17" i="5" s="1"/>
  <c r="Z17" i="5" s="1"/>
  <c r="X18" i="5"/>
  <c r="X19" i="5"/>
  <c r="Y19" i="5" s="1"/>
  <c r="X20" i="5"/>
  <c r="Y20" i="5" s="1"/>
  <c r="Z20" i="5" s="1"/>
  <c r="X21" i="5"/>
  <c r="Y21" i="5" s="1"/>
  <c r="Z21" i="5" s="1"/>
  <c r="X22" i="5"/>
  <c r="Y22" i="5" s="1"/>
  <c r="Z22" i="5" s="1"/>
  <c r="X23" i="5"/>
  <c r="Y23" i="5" s="1"/>
  <c r="Z23" i="5" s="1"/>
  <c r="X24" i="5"/>
  <c r="Y24" i="5" s="1"/>
  <c r="Z24" i="5" s="1"/>
  <c r="X25" i="5"/>
  <c r="Y25" i="5" s="1"/>
  <c r="Z25" i="5" s="1"/>
  <c r="X26" i="5"/>
  <c r="Y26" i="5" s="1"/>
  <c r="X27" i="5"/>
  <c r="Y27" i="5" s="1"/>
  <c r="X28" i="5"/>
  <c r="Y28" i="5" s="1"/>
  <c r="Z28" i="5" s="1"/>
  <c r="X29" i="5"/>
  <c r="Y29" i="5" s="1"/>
  <c r="Z29" i="5" s="1"/>
  <c r="X30" i="5"/>
  <c r="X31" i="5"/>
  <c r="Y31" i="5" s="1"/>
  <c r="Z31" i="5" s="1"/>
  <c r="X32" i="5"/>
  <c r="Y32" i="5" s="1"/>
  <c r="Z32" i="5" s="1"/>
  <c r="X33" i="5"/>
  <c r="Y33" i="5" s="1"/>
  <c r="X34" i="5"/>
  <c r="Y34" i="5" s="1"/>
  <c r="X35" i="5"/>
  <c r="Y35" i="5" s="1"/>
  <c r="X36" i="5"/>
  <c r="Y36" i="5" s="1"/>
  <c r="X37" i="5"/>
  <c r="Y37" i="5" s="1"/>
  <c r="X38" i="5"/>
  <c r="Y38" i="5" s="1"/>
  <c r="X39" i="5"/>
  <c r="Y39" i="5" s="1"/>
  <c r="X40" i="5"/>
  <c r="Y40" i="5" s="1"/>
  <c r="X41" i="5"/>
  <c r="X42" i="5"/>
  <c r="Y42" i="5" s="1"/>
  <c r="X43" i="5"/>
  <c r="Y43" i="5" s="1"/>
  <c r="X44" i="5"/>
  <c r="Y44" i="5" s="1"/>
  <c r="Z44" i="5" s="1"/>
  <c r="X45" i="5"/>
  <c r="Y45" i="5" s="1"/>
  <c r="X46" i="5"/>
  <c r="Y46" i="5" s="1"/>
  <c r="X47" i="5"/>
  <c r="Y47" i="5" s="1"/>
  <c r="Z47" i="5" s="1"/>
  <c r="X48" i="5"/>
  <c r="Y48" i="5" s="1"/>
  <c r="Z48" i="5" s="1"/>
  <c r="X49" i="5"/>
  <c r="Y49" i="5" s="1"/>
  <c r="X50" i="5"/>
  <c r="Y50" i="5" s="1"/>
  <c r="Z50" i="5" s="1"/>
  <c r="X51" i="5"/>
  <c r="Y51" i="5" s="1"/>
  <c r="Z51" i="5" s="1"/>
  <c r="X4" i="5"/>
  <c r="Y4" i="5" s="1"/>
  <c r="U5" i="5"/>
  <c r="V5" i="5" s="1"/>
  <c r="U6" i="5"/>
  <c r="V6" i="5" s="1"/>
  <c r="U7" i="5"/>
  <c r="V7" i="5" s="1"/>
  <c r="W7" i="5" s="1"/>
  <c r="U8" i="5"/>
  <c r="V8" i="5" s="1"/>
  <c r="W8" i="5" s="1"/>
  <c r="U9" i="5"/>
  <c r="V9" i="5" s="1"/>
  <c r="U10" i="5"/>
  <c r="V10" i="5" s="1"/>
  <c r="W10" i="5" s="1"/>
  <c r="U11" i="5"/>
  <c r="V11" i="5" s="1"/>
  <c r="U12" i="5"/>
  <c r="V12" i="5" s="1"/>
  <c r="W12" i="5" s="1"/>
  <c r="U13" i="5"/>
  <c r="V13" i="5" s="1"/>
  <c r="U14" i="5"/>
  <c r="U15" i="5"/>
  <c r="V15" i="5" s="1"/>
  <c r="U16" i="5"/>
  <c r="V16" i="5" s="1"/>
  <c r="U17" i="5"/>
  <c r="V17" i="5" s="1"/>
  <c r="U18" i="5"/>
  <c r="V18" i="5" s="1"/>
  <c r="U19" i="5"/>
  <c r="V19" i="5" s="1"/>
  <c r="U20" i="5"/>
  <c r="V20" i="5" s="1"/>
  <c r="W20" i="5" s="1"/>
  <c r="U21" i="5"/>
  <c r="V21" i="5" s="1"/>
  <c r="W21" i="5" s="1"/>
  <c r="U22" i="5"/>
  <c r="V22" i="5" s="1"/>
  <c r="U23" i="5"/>
  <c r="V23" i="5" s="1"/>
  <c r="W23" i="5" s="1"/>
  <c r="U24" i="5"/>
  <c r="V24" i="5" s="1"/>
  <c r="W24" i="5" s="1"/>
  <c r="U25" i="5"/>
  <c r="V25" i="5" s="1"/>
  <c r="U26" i="5"/>
  <c r="V26" i="5" s="1"/>
  <c r="W26" i="5" s="1"/>
  <c r="U27" i="5"/>
  <c r="V27" i="5" s="1"/>
  <c r="U28" i="5"/>
  <c r="V28" i="5" s="1"/>
  <c r="W28" i="5" s="1"/>
  <c r="U29" i="5"/>
  <c r="V29" i="5" s="1"/>
  <c r="U30" i="5"/>
  <c r="V30" i="5" s="1"/>
  <c r="U31" i="5"/>
  <c r="V31" i="5" s="1"/>
  <c r="W31" i="5" s="1"/>
  <c r="U32" i="5"/>
  <c r="V32" i="5" s="1"/>
  <c r="W32" i="5" s="1"/>
  <c r="U33" i="5"/>
  <c r="V33" i="5" s="1"/>
  <c r="U34" i="5"/>
  <c r="V34" i="5" s="1"/>
  <c r="U35" i="5"/>
  <c r="V35" i="5" s="1"/>
  <c r="W35" i="5" s="1"/>
  <c r="U36" i="5"/>
  <c r="U37" i="5"/>
  <c r="U38" i="5"/>
  <c r="U39" i="5"/>
  <c r="U40" i="5"/>
  <c r="U41" i="5"/>
  <c r="U42" i="5"/>
  <c r="U43" i="5"/>
  <c r="U44" i="5"/>
  <c r="V44" i="5" s="1"/>
  <c r="W44" i="5" s="1"/>
  <c r="U45" i="5"/>
  <c r="V45" i="5" s="1"/>
  <c r="W45" i="5" s="1"/>
  <c r="U46" i="5"/>
  <c r="U47" i="5"/>
  <c r="V47" i="5" s="1"/>
  <c r="W47" i="5" s="1"/>
  <c r="U48" i="5"/>
  <c r="V48" i="5" s="1"/>
  <c r="W48" i="5" s="1"/>
  <c r="U49" i="5"/>
  <c r="V49" i="5" s="1"/>
  <c r="U50" i="5"/>
  <c r="V50" i="5" s="1"/>
  <c r="U51" i="5"/>
  <c r="V51" i="5" s="1"/>
  <c r="W51" i="5" s="1"/>
  <c r="U4" i="5"/>
  <c r="V4" i="5" s="1"/>
  <c r="R5" i="5"/>
  <c r="S5" i="5" s="1"/>
  <c r="R6" i="5"/>
  <c r="S6" i="5" s="1"/>
  <c r="R7" i="5"/>
  <c r="S7" i="5" s="1"/>
  <c r="R8" i="5"/>
  <c r="S8" i="5" s="1"/>
  <c r="T8" i="5" s="1"/>
  <c r="R9" i="5"/>
  <c r="S9" i="5" s="1"/>
  <c r="R10" i="5"/>
  <c r="S10" i="5" s="1"/>
  <c r="R11" i="5"/>
  <c r="S11" i="5" s="1"/>
  <c r="R12" i="5"/>
  <c r="S12" i="5" s="1"/>
  <c r="T12" i="5" s="1"/>
  <c r="R13" i="5"/>
  <c r="S13" i="5" s="1"/>
  <c r="T13" i="5" s="1"/>
  <c r="R14" i="5"/>
  <c r="S14" i="5" s="1"/>
  <c r="R15" i="5"/>
  <c r="S15" i="5" s="1"/>
  <c r="R16" i="5"/>
  <c r="S16" i="5" s="1"/>
  <c r="T16" i="5" s="1"/>
  <c r="R17" i="5"/>
  <c r="S17" i="5" s="1"/>
  <c r="R18" i="5"/>
  <c r="S18" i="5" s="1"/>
  <c r="T18" i="5" s="1"/>
  <c r="R19" i="5"/>
  <c r="S19" i="5" s="1"/>
  <c r="R20" i="5"/>
  <c r="S20" i="5" s="1"/>
  <c r="T20" i="5" s="1"/>
  <c r="R21" i="5"/>
  <c r="S21" i="5" s="1"/>
  <c r="R22" i="5"/>
  <c r="R23" i="5"/>
  <c r="S23" i="5" s="1"/>
  <c r="R24" i="5"/>
  <c r="S24" i="5" s="1"/>
  <c r="R25" i="5"/>
  <c r="S25" i="5" s="1"/>
  <c r="R26" i="5"/>
  <c r="R27" i="5"/>
  <c r="S27" i="5" s="1"/>
  <c r="R28" i="5"/>
  <c r="S28" i="5" s="1"/>
  <c r="T28" i="5" s="1"/>
  <c r="R29" i="5"/>
  <c r="S29" i="5" s="1"/>
  <c r="R30" i="5"/>
  <c r="S30" i="5" s="1"/>
  <c r="R31" i="5"/>
  <c r="S31" i="5" s="1"/>
  <c r="T31" i="5" s="1"/>
  <c r="R32" i="5"/>
  <c r="S32" i="5" s="1"/>
  <c r="T32" i="5" s="1"/>
  <c r="R33" i="5"/>
  <c r="S33" i="5" s="1"/>
  <c r="R34" i="5"/>
  <c r="S34" i="5" s="1"/>
  <c r="R35" i="5"/>
  <c r="S35" i="5" s="1"/>
  <c r="T35" i="5" s="1"/>
  <c r="R36" i="5"/>
  <c r="S36" i="5" s="1"/>
  <c r="R37" i="5"/>
  <c r="S37" i="5" s="1"/>
  <c r="R38" i="5"/>
  <c r="S38" i="5" s="1"/>
  <c r="T38" i="5" s="1"/>
  <c r="R39" i="5"/>
  <c r="S39" i="5" s="1"/>
  <c r="R40" i="5"/>
  <c r="S40" i="5" s="1"/>
  <c r="T40" i="5" s="1"/>
  <c r="R41" i="5"/>
  <c r="S41" i="5" s="1"/>
  <c r="R42" i="5"/>
  <c r="S42" i="5" s="1"/>
  <c r="T42" i="5" s="1"/>
  <c r="R43" i="5"/>
  <c r="S43" i="5" s="1"/>
  <c r="R44" i="5"/>
  <c r="S44" i="5" s="1"/>
  <c r="T44" i="5" s="1"/>
  <c r="R45" i="5"/>
  <c r="S45" i="5" s="1"/>
  <c r="T45" i="5" s="1"/>
  <c r="R46" i="5"/>
  <c r="R47" i="5"/>
  <c r="S47" i="5" s="1"/>
  <c r="T47" i="5" s="1"/>
  <c r="R48" i="5"/>
  <c r="S48" i="5" s="1"/>
  <c r="T48" i="5" s="1"/>
  <c r="R49" i="5"/>
  <c r="S49" i="5" s="1"/>
  <c r="T49" i="5" s="1"/>
  <c r="R50" i="5"/>
  <c r="S50" i="5" s="1"/>
  <c r="T50" i="5" s="1"/>
  <c r="R51" i="5"/>
  <c r="S51" i="5" s="1"/>
  <c r="R4" i="5"/>
  <c r="S4" i="5" s="1"/>
  <c r="M5" i="5"/>
  <c r="Q5" i="5" s="1"/>
  <c r="M6" i="5"/>
  <c r="M7" i="5"/>
  <c r="M8" i="5"/>
  <c r="M9" i="5"/>
  <c r="N9" i="5" s="1"/>
  <c r="M10" i="5"/>
  <c r="M11" i="5"/>
  <c r="M12" i="5"/>
  <c r="Q12" i="5" s="1"/>
  <c r="M13" i="5"/>
  <c r="N13" i="5" s="1"/>
  <c r="M14" i="5"/>
  <c r="M15" i="5"/>
  <c r="N15" i="5" s="1"/>
  <c r="O15" i="5" s="1"/>
  <c r="M16" i="5"/>
  <c r="M17" i="5"/>
  <c r="N17" i="5" s="1"/>
  <c r="O17" i="5" s="1"/>
  <c r="M18" i="5"/>
  <c r="N18" i="5" s="1"/>
  <c r="O18" i="5" s="1"/>
  <c r="M19" i="5"/>
  <c r="P19" i="5" s="1"/>
  <c r="M20" i="5"/>
  <c r="Q20" i="5" s="1"/>
  <c r="M21" i="5"/>
  <c r="M22" i="5"/>
  <c r="M23" i="5"/>
  <c r="M24" i="5"/>
  <c r="M25" i="5"/>
  <c r="M26" i="5"/>
  <c r="M27" i="5"/>
  <c r="M28" i="5"/>
  <c r="M29" i="5"/>
  <c r="M30" i="5"/>
  <c r="M31" i="5"/>
  <c r="Q31" i="5" s="1"/>
  <c r="M32" i="5"/>
  <c r="N32" i="5" s="1"/>
  <c r="O32" i="5" s="1"/>
  <c r="M33" i="5"/>
  <c r="N33" i="5" s="1"/>
  <c r="M34" i="5"/>
  <c r="N34" i="5" s="1"/>
  <c r="M35" i="5"/>
  <c r="N35" i="5" s="1"/>
  <c r="O35" i="5" s="1"/>
  <c r="M36" i="5"/>
  <c r="N36" i="5" s="1"/>
  <c r="O36" i="5" s="1"/>
  <c r="M37" i="5"/>
  <c r="M38" i="5"/>
  <c r="Q38" i="5" s="1"/>
  <c r="M39" i="5"/>
  <c r="N39" i="5" s="1"/>
  <c r="M40" i="5"/>
  <c r="M41" i="5"/>
  <c r="M42" i="5"/>
  <c r="Q42" i="5" s="1"/>
  <c r="M43" i="5"/>
  <c r="Q43" i="5" s="1"/>
  <c r="M44" i="5"/>
  <c r="M45" i="5"/>
  <c r="N45" i="5" s="1"/>
  <c r="O45" i="5" s="1"/>
  <c r="M46" i="5"/>
  <c r="M47" i="5"/>
  <c r="M48" i="5"/>
  <c r="N48" i="5" s="1"/>
  <c r="O48" i="5" s="1"/>
  <c r="M49" i="5"/>
  <c r="P49" i="5" s="1"/>
  <c r="M50" i="5"/>
  <c r="P50" i="5" s="1"/>
  <c r="M51" i="5"/>
  <c r="M4" i="5"/>
  <c r="F5" i="5"/>
  <c r="J5" i="5" s="1"/>
  <c r="F6" i="5"/>
  <c r="F7" i="5"/>
  <c r="K7" i="5" s="1"/>
  <c r="F8" i="5"/>
  <c r="F9" i="5"/>
  <c r="F10" i="5"/>
  <c r="I10" i="5" s="1"/>
  <c r="F11" i="5"/>
  <c r="K11" i="5" s="1"/>
  <c r="F12" i="5"/>
  <c r="F13" i="5"/>
  <c r="F14" i="5"/>
  <c r="F15" i="5"/>
  <c r="K15" i="5" s="1"/>
  <c r="F16" i="5"/>
  <c r="L16" i="5" s="1"/>
  <c r="F17" i="5"/>
  <c r="L17" i="5" s="1"/>
  <c r="F18" i="5"/>
  <c r="J18" i="5" s="1"/>
  <c r="F19" i="5"/>
  <c r="I19" i="5" s="1"/>
  <c r="F20" i="5"/>
  <c r="F21" i="5"/>
  <c r="K21" i="5" s="1"/>
  <c r="F22" i="5"/>
  <c r="J22" i="5" s="1"/>
  <c r="F23" i="5"/>
  <c r="F24" i="5"/>
  <c r="F25" i="5"/>
  <c r="J25" i="5" s="1"/>
  <c r="F26" i="5"/>
  <c r="K26" i="5" s="1"/>
  <c r="F27" i="5"/>
  <c r="G27" i="5" s="1"/>
  <c r="F28" i="5"/>
  <c r="G28" i="5" s="1"/>
  <c r="H28" i="5" s="1"/>
  <c r="F29" i="5"/>
  <c r="I29" i="5" s="1"/>
  <c r="F30" i="5"/>
  <c r="F31" i="5"/>
  <c r="J31" i="5" s="1"/>
  <c r="F32" i="5"/>
  <c r="K32" i="5" s="1"/>
  <c r="F33" i="5"/>
  <c r="K33" i="5" s="1"/>
  <c r="F34" i="5"/>
  <c r="G34" i="5" s="1"/>
  <c r="H34" i="5" s="1"/>
  <c r="F35" i="5"/>
  <c r="I35" i="5" s="1"/>
  <c r="F36" i="5"/>
  <c r="K36" i="5" s="1"/>
  <c r="F37" i="5"/>
  <c r="K37" i="5" s="1"/>
  <c r="F38" i="5"/>
  <c r="F39" i="5"/>
  <c r="J39" i="5" s="1"/>
  <c r="F40" i="5"/>
  <c r="I40" i="5" s="1"/>
  <c r="F41" i="5"/>
  <c r="F42" i="5"/>
  <c r="F43" i="5"/>
  <c r="F44" i="5"/>
  <c r="J44" i="5" s="1"/>
  <c r="F45" i="5"/>
  <c r="F46" i="5"/>
  <c r="J46" i="5" s="1"/>
  <c r="F47" i="5"/>
  <c r="I47" i="5" s="1"/>
  <c r="F48" i="5"/>
  <c r="F49" i="5"/>
  <c r="F50" i="5"/>
  <c r="F51" i="5"/>
  <c r="F4" i="5"/>
  <c r="E51" i="5"/>
  <c r="AE50" i="5"/>
  <c r="AF50" i="5" s="1"/>
  <c r="AB50" i="5"/>
  <c r="AC50" i="5" s="1"/>
  <c r="N50" i="5"/>
  <c r="O50" i="5" s="1"/>
  <c r="E50" i="5"/>
  <c r="E49" i="5"/>
  <c r="E48" i="5"/>
  <c r="E47" i="5"/>
  <c r="AE46" i="5"/>
  <c r="V46" i="5"/>
  <c r="S46" i="5"/>
  <c r="I46" i="5"/>
  <c r="E46" i="5"/>
  <c r="P45" i="5"/>
  <c r="E45" i="5"/>
  <c r="E44" i="5"/>
  <c r="W43" i="5"/>
  <c r="P43" i="5"/>
  <c r="E43" i="5"/>
  <c r="AB42" i="5"/>
  <c r="N42" i="5"/>
  <c r="K42" i="5"/>
  <c r="J42" i="5"/>
  <c r="E42" i="5"/>
  <c r="W42" i="5" s="1"/>
  <c r="Y41" i="5"/>
  <c r="E41" i="5"/>
  <c r="W41" i="5" s="1"/>
  <c r="E40" i="5"/>
  <c r="W40" i="5" s="1"/>
  <c r="E39" i="5"/>
  <c r="W39" i="5" s="1"/>
  <c r="AE38" i="5"/>
  <c r="AF38" i="5" s="1"/>
  <c r="AB38" i="5"/>
  <c r="N38" i="5"/>
  <c r="G38" i="5"/>
  <c r="H38" i="5" s="1"/>
  <c r="J38" i="5"/>
  <c r="E38" i="5"/>
  <c r="W38" i="5" s="1"/>
  <c r="E37" i="5"/>
  <c r="W37" i="5" s="1"/>
  <c r="W36" i="5"/>
  <c r="E36" i="5"/>
  <c r="E35" i="5"/>
  <c r="AE34" i="5"/>
  <c r="AF34" i="5" s="1"/>
  <c r="Q34" i="5"/>
  <c r="P34" i="5"/>
  <c r="I34" i="5"/>
  <c r="E34" i="5"/>
  <c r="J33" i="5"/>
  <c r="E33" i="5"/>
  <c r="E32" i="5"/>
  <c r="E31" i="5"/>
  <c r="AB30" i="5"/>
  <c r="Y30" i="5"/>
  <c r="Z30" i="5" s="1"/>
  <c r="N30" i="5"/>
  <c r="G30" i="5"/>
  <c r="J30" i="5"/>
  <c r="E30" i="5"/>
  <c r="K29" i="5"/>
  <c r="E29" i="5"/>
  <c r="E28" i="5"/>
  <c r="E27" i="5"/>
  <c r="AB26" i="5"/>
  <c r="S26" i="5"/>
  <c r="Q26" i="5"/>
  <c r="I26" i="5"/>
  <c r="E26" i="5"/>
  <c r="E25" i="5"/>
  <c r="E24" i="5"/>
  <c r="E23" i="5"/>
  <c r="AE22" i="5"/>
  <c r="S22" i="5"/>
  <c r="K22" i="5"/>
  <c r="E22" i="5"/>
  <c r="G21" i="5"/>
  <c r="H21" i="5" s="1"/>
  <c r="E21" i="5"/>
  <c r="E20" i="5"/>
  <c r="E19" i="5"/>
  <c r="AB18" i="5"/>
  <c r="Y18" i="5"/>
  <c r="Z18" i="5" s="1"/>
  <c r="I18" i="5"/>
  <c r="E18" i="5"/>
  <c r="AB17" i="5"/>
  <c r="E17" i="5"/>
  <c r="E16" i="5"/>
  <c r="E15" i="5"/>
  <c r="Y14" i="5"/>
  <c r="V14" i="5"/>
  <c r="L14" i="5"/>
  <c r="G14" i="5"/>
  <c r="J14" i="5"/>
  <c r="E14" i="5"/>
  <c r="AE13" i="5"/>
  <c r="AF13" i="5" s="1"/>
  <c r="E13" i="5"/>
  <c r="E12" i="5"/>
  <c r="E11" i="5"/>
  <c r="Y10" i="5"/>
  <c r="P10" i="5"/>
  <c r="N10" i="5"/>
  <c r="G10" i="5"/>
  <c r="E10" i="5"/>
  <c r="E9" i="5"/>
  <c r="E8" i="5"/>
  <c r="AE7" i="5"/>
  <c r="AF7" i="5" s="1"/>
  <c r="E7" i="5"/>
  <c r="AE6" i="5"/>
  <c r="AB6" i="5"/>
  <c r="Q6" i="5"/>
  <c r="K6" i="5"/>
  <c r="I6" i="5"/>
  <c r="E6" i="5"/>
  <c r="E5" i="5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E4" i="5"/>
  <c r="AD5" i="3"/>
  <c r="AE5" i="3" s="1"/>
  <c r="AF5" i="3" s="1"/>
  <c r="AD6" i="3"/>
  <c r="AE6" i="3" s="1"/>
  <c r="AD7" i="3"/>
  <c r="AE7" i="3" s="1"/>
  <c r="AD8" i="3"/>
  <c r="AE8" i="3" s="1"/>
  <c r="AD9" i="3"/>
  <c r="AD10" i="3"/>
  <c r="AE10" i="3" s="1"/>
  <c r="AD11" i="3"/>
  <c r="AE11" i="3" s="1"/>
  <c r="AD12" i="3"/>
  <c r="AE12" i="3" s="1"/>
  <c r="AD13" i="3"/>
  <c r="AE13" i="3" s="1"/>
  <c r="AF13" i="3" s="1"/>
  <c r="AD14" i="3"/>
  <c r="AE14" i="3" s="1"/>
  <c r="AD15" i="3"/>
  <c r="AE15" i="3" s="1"/>
  <c r="AF15" i="3" s="1"/>
  <c r="AD16" i="3"/>
  <c r="AE16" i="3" s="1"/>
  <c r="AD17" i="3"/>
  <c r="AE17" i="3" s="1"/>
  <c r="AD18" i="3"/>
  <c r="AE18" i="3" s="1"/>
  <c r="AD19" i="3"/>
  <c r="AD20" i="3"/>
  <c r="AE20" i="3" s="1"/>
  <c r="AD21" i="3"/>
  <c r="AE21" i="3" s="1"/>
  <c r="AF21" i="3" s="1"/>
  <c r="AD22" i="3"/>
  <c r="AE22" i="3" s="1"/>
  <c r="AF22" i="3" s="1"/>
  <c r="AD23" i="3"/>
  <c r="AD24" i="3"/>
  <c r="AE24" i="3" s="1"/>
  <c r="AF24" i="3" s="1"/>
  <c r="AD25" i="3"/>
  <c r="AE25" i="3" s="1"/>
  <c r="AF25" i="3" s="1"/>
  <c r="AD26" i="3"/>
  <c r="AE26" i="3" s="1"/>
  <c r="AF26" i="3" s="1"/>
  <c r="AD27" i="3"/>
  <c r="AD28" i="3"/>
  <c r="AE28" i="3" s="1"/>
  <c r="AD29" i="3"/>
  <c r="AE29" i="3" s="1"/>
  <c r="AD30" i="3"/>
  <c r="AE30" i="3" s="1"/>
  <c r="AD31" i="3"/>
  <c r="AE31" i="3" s="1"/>
  <c r="AF31" i="3" s="1"/>
  <c r="AD32" i="3"/>
  <c r="AE32" i="3" s="1"/>
  <c r="AF32" i="3" s="1"/>
  <c r="AD33" i="3"/>
  <c r="AE33" i="3" s="1"/>
  <c r="AD34" i="3"/>
  <c r="AE34" i="3" s="1"/>
  <c r="AF34" i="3" s="1"/>
  <c r="AD35" i="3"/>
  <c r="AE35" i="3" s="1"/>
  <c r="AF35" i="3" s="1"/>
  <c r="AD36" i="3"/>
  <c r="AE36" i="3" s="1"/>
  <c r="AF36" i="3" s="1"/>
  <c r="AD37" i="3"/>
  <c r="AE37" i="3" s="1"/>
  <c r="AD38" i="3"/>
  <c r="AE38" i="3" s="1"/>
  <c r="AD39" i="3"/>
  <c r="AE39" i="3" s="1"/>
  <c r="AF39" i="3" s="1"/>
  <c r="AD40" i="3"/>
  <c r="AE40" i="3" s="1"/>
  <c r="AD41" i="3"/>
  <c r="AE41" i="3" s="1"/>
  <c r="AD42" i="3"/>
  <c r="AE42" i="3" s="1"/>
  <c r="AD43" i="3"/>
  <c r="AE43" i="3" s="1"/>
  <c r="AF43" i="3" s="1"/>
  <c r="AD44" i="3"/>
  <c r="AE44" i="3" s="1"/>
  <c r="AD45" i="3"/>
  <c r="AE45" i="3" s="1"/>
  <c r="AF45" i="3" s="1"/>
  <c r="AD46" i="3"/>
  <c r="AE46" i="3" s="1"/>
  <c r="AF46" i="3" s="1"/>
  <c r="AD47" i="3"/>
  <c r="AE47" i="3" s="1"/>
  <c r="AF47" i="3" s="1"/>
  <c r="AD48" i="3"/>
  <c r="AE48" i="3" s="1"/>
  <c r="AD49" i="3"/>
  <c r="AE49" i="3" s="1"/>
  <c r="AD50" i="3"/>
  <c r="AE50" i="3" s="1"/>
  <c r="AD51" i="3"/>
  <c r="AE51" i="3" s="1"/>
  <c r="AF51" i="3" s="1"/>
  <c r="AD4" i="3"/>
  <c r="AA5" i="3"/>
  <c r="AB5" i="3" s="1"/>
  <c r="AA6" i="3"/>
  <c r="AB6" i="3" s="1"/>
  <c r="AA7" i="3"/>
  <c r="AB7" i="3" s="1"/>
  <c r="AA8" i="3"/>
  <c r="AB8" i="3" s="1"/>
  <c r="AA9" i="3"/>
  <c r="AB9" i="3" s="1"/>
  <c r="AC9" i="3" s="1"/>
  <c r="AA10" i="3"/>
  <c r="AB10" i="3" s="1"/>
  <c r="AC10" i="3" s="1"/>
  <c r="AA11" i="3"/>
  <c r="AB11" i="3" s="1"/>
  <c r="AC11" i="3" s="1"/>
  <c r="AA12" i="3"/>
  <c r="AB12" i="3" s="1"/>
  <c r="AA13" i="3"/>
  <c r="AA14" i="3"/>
  <c r="AB14" i="3" s="1"/>
  <c r="AA15" i="3"/>
  <c r="AB15" i="3" s="1"/>
  <c r="AC15" i="3" s="1"/>
  <c r="AA16" i="3"/>
  <c r="AA17" i="3"/>
  <c r="AB17" i="3" s="1"/>
  <c r="AC17" i="3" s="1"/>
  <c r="AA18" i="3"/>
  <c r="AB18" i="3" s="1"/>
  <c r="AC18" i="3" s="1"/>
  <c r="AA19" i="3"/>
  <c r="AB19" i="3" s="1"/>
  <c r="AA20" i="3"/>
  <c r="AA21" i="3"/>
  <c r="AB21" i="3" s="1"/>
  <c r="AC21" i="3" s="1"/>
  <c r="AA22" i="3"/>
  <c r="AB22" i="3" s="1"/>
  <c r="AC22" i="3" s="1"/>
  <c r="AA23" i="3"/>
  <c r="AB23" i="3" s="1"/>
  <c r="AC23" i="3" s="1"/>
  <c r="AA24" i="3"/>
  <c r="AB24" i="3" s="1"/>
  <c r="AC24" i="3" s="1"/>
  <c r="AA25" i="3"/>
  <c r="AB25" i="3" s="1"/>
  <c r="AA26" i="3"/>
  <c r="AB26" i="3" s="1"/>
  <c r="AC26" i="3" s="1"/>
  <c r="AA27" i="3"/>
  <c r="AB27" i="3" s="1"/>
  <c r="AA28" i="3"/>
  <c r="AB28" i="3" s="1"/>
  <c r="AA29" i="3"/>
  <c r="AB29" i="3" s="1"/>
  <c r="AC29" i="3" s="1"/>
  <c r="AA30" i="3"/>
  <c r="AB30" i="3" s="1"/>
  <c r="AA31" i="3"/>
  <c r="AA32" i="3"/>
  <c r="AB32" i="3" s="1"/>
  <c r="AC32" i="3" s="1"/>
  <c r="AA33" i="3"/>
  <c r="AB33" i="3" s="1"/>
  <c r="AA34" i="3"/>
  <c r="AB34" i="3" s="1"/>
  <c r="AC34" i="3" s="1"/>
  <c r="AA35" i="3"/>
  <c r="AB35" i="3" s="1"/>
  <c r="AC35" i="3" s="1"/>
  <c r="AA36" i="3"/>
  <c r="AB36" i="3" s="1"/>
  <c r="AA37" i="3"/>
  <c r="AB37" i="3" s="1"/>
  <c r="AA38" i="3"/>
  <c r="AB38" i="3" s="1"/>
  <c r="AA39" i="3"/>
  <c r="AB39" i="3" s="1"/>
  <c r="AA40" i="3"/>
  <c r="AB40" i="3" s="1"/>
  <c r="AA41" i="3"/>
  <c r="AB41" i="3" s="1"/>
  <c r="AA42" i="3"/>
  <c r="AB42" i="3" s="1"/>
  <c r="AA43" i="3"/>
  <c r="AB43" i="3" s="1"/>
  <c r="AA44" i="3"/>
  <c r="AB44" i="3" s="1"/>
  <c r="AA45" i="3"/>
  <c r="AB45" i="3" s="1"/>
  <c r="AA46" i="3"/>
  <c r="AA47" i="3"/>
  <c r="AB47" i="3" s="1"/>
  <c r="AA48" i="3"/>
  <c r="AA49" i="3"/>
  <c r="AB49" i="3" s="1"/>
  <c r="AA50" i="3"/>
  <c r="AB50" i="3" s="1"/>
  <c r="AA51" i="3"/>
  <c r="AB51" i="3" s="1"/>
  <c r="AC51" i="3" s="1"/>
  <c r="AA4" i="3"/>
  <c r="AB4" i="3" s="1"/>
  <c r="X5" i="3"/>
  <c r="Y5" i="3" s="1"/>
  <c r="Z5" i="3" s="1"/>
  <c r="X6" i="3"/>
  <c r="Y6" i="3" s="1"/>
  <c r="X7" i="3"/>
  <c r="Y7" i="3" s="1"/>
  <c r="Z7" i="3" s="1"/>
  <c r="X8" i="3"/>
  <c r="Y8" i="3" s="1"/>
  <c r="X9" i="3"/>
  <c r="Y9" i="3" s="1"/>
  <c r="Z9" i="3" s="1"/>
  <c r="X10" i="3"/>
  <c r="Y10" i="3" s="1"/>
  <c r="Z10" i="3" s="1"/>
  <c r="X11" i="3"/>
  <c r="Y11" i="3" s="1"/>
  <c r="X12" i="3"/>
  <c r="Y12" i="3" s="1"/>
  <c r="X13" i="3"/>
  <c r="Y13" i="3" s="1"/>
  <c r="X14" i="3"/>
  <c r="Y14" i="3" s="1"/>
  <c r="X15" i="3"/>
  <c r="Y15" i="3" s="1"/>
  <c r="Z15" i="3" s="1"/>
  <c r="X16" i="3"/>
  <c r="X17" i="3"/>
  <c r="Y17" i="3" s="1"/>
  <c r="Z17" i="3" s="1"/>
  <c r="X18" i="3"/>
  <c r="Y18" i="3" s="1"/>
  <c r="Z18" i="3" s="1"/>
  <c r="X19" i="3"/>
  <c r="Y19" i="3" s="1"/>
  <c r="Z19" i="3" s="1"/>
  <c r="X20" i="3"/>
  <c r="Y20" i="3" s="1"/>
  <c r="X21" i="3"/>
  <c r="Y21" i="3" s="1"/>
  <c r="X22" i="3"/>
  <c r="Y22" i="3" s="1"/>
  <c r="Z22" i="3" s="1"/>
  <c r="X23" i="3"/>
  <c r="Y23" i="3" s="1"/>
  <c r="Z23" i="3" s="1"/>
  <c r="X24" i="3"/>
  <c r="Y24" i="3" s="1"/>
  <c r="Z24" i="3" s="1"/>
  <c r="X25" i="3"/>
  <c r="Y25" i="3" s="1"/>
  <c r="Z25" i="3" s="1"/>
  <c r="X26" i="3"/>
  <c r="Y26" i="3" s="1"/>
  <c r="Z26" i="3" s="1"/>
  <c r="X27" i="3"/>
  <c r="Y27" i="3" s="1"/>
  <c r="X28" i="3"/>
  <c r="X29" i="3"/>
  <c r="Y29" i="3" s="1"/>
  <c r="X30" i="3"/>
  <c r="Y30" i="3" s="1"/>
  <c r="X31" i="3"/>
  <c r="Y31" i="3" s="1"/>
  <c r="Z31" i="3" s="1"/>
  <c r="X32" i="3"/>
  <c r="Y32" i="3" s="1"/>
  <c r="Z32" i="3" s="1"/>
  <c r="X33" i="3"/>
  <c r="X34" i="3"/>
  <c r="Y34" i="3" s="1"/>
  <c r="Z34" i="3" s="1"/>
  <c r="X35" i="3"/>
  <c r="Y35" i="3" s="1"/>
  <c r="Z35" i="3" s="1"/>
  <c r="X36" i="3"/>
  <c r="Y36" i="3" s="1"/>
  <c r="Z36" i="3" s="1"/>
  <c r="X37" i="3"/>
  <c r="Y37" i="3" s="1"/>
  <c r="X38" i="3"/>
  <c r="Y38" i="3" s="1"/>
  <c r="X39" i="3"/>
  <c r="Y39" i="3" s="1"/>
  <c r="Z39" i="3" s="1"/>
  <c r="X40" i="3"/>
  <c r="X41" i="3"/>
  <c r="Y41" i="3" s="1"/>
  <c r="X42" i="3"/>
  <c r="Y42" i="3" s="1"/>
  <c r="X43" i="3"/>
  <c r="Y43" i="3" s="1"/>
  <c r="Z43" i="3" s="1"/>
  <c r="X44" i="3"/>
  <c r="Y44" i="3" s="1"/>
  <c r="X45" i="3"/>
  <c r="Y45" i="3" s="1"/>
  <c r="X46" i="3"/>
  <c r="Y46" i="3" s="1"/>
  <c r="X47" i="3"/>
  <c r="Y47" i="3" s="1"/>
  <c r="Z47" i="3" s="1"/>
  <c r="X48" i="3"/>
  <c r="Y48" i="3" s="1"/>
  <c r="X49" i="3"/>
  <c r="Y49" i="3" s="1"/>
  <c r="X50" i="3"/>
  <c r="X51" i="3"/>
  <c r="Y51" i="3" s="1"/>
  <c r="Z51" i="3" s="1"/>
  <c r="X4" i="3"/>
  <c r="Y4" i="3" s="1"/>
  <c r="U5" i="3"/>
  <c r="U6" i="3"/>
  <c r="V6" i="3" s="1"/>
  <c r="U7" i="3"/>
  <c r="V7" i="3" s="1"/>
  <c r="U8" i="3"/>
  <c r="U9" i="3"/>
  <c r="V9" i="3" s="1"/>
  <c r="U10" i="3"/>
  <c r="V10" i="3" s="1"/>
  <c r="W10" i="3" s="1"/>
  <c r="U11" i="3"/>
  <c r="V11" i="3" s="1"/>
  <c r="U12" i="3"/>
  <c r="V12" i="3" s="1"/>
  <c r="U13" i="3"/>
  <c r="V13" i="3" s="1"/>
  <c r="U14" i="3"/>
  <c r="V14" i="3" s="1"/>
  <c r="W14" i="3" s="1"/>
  <c r="U15" i="3"/>
  <c r="V15" i="3" s="1"/>
  <c r="W15" i="3" s="1"/>
  <c r="U16" i="3"/>
  <c r="V16" i="3" s="1"/>
  <c r="U17" i="3"/>
  <c r="U18" i="3"/>
  <c r="V18" i="3" s="1"/>
  <c r="W18" i="3" s="1"/>
  <c r="U19" i="3"/>
  <c r="V19" i="3" s="1"/>
  <c r="U20" i="3"/>
  <c r="U21" i="3"/>
  <c r="U22" i="3"/>
  <c r="V22" i="3" s="1"/>
  <c r="W22" i="3" s="1"/>
  <c r="U23" i="3"/>
  <c r="V23" i="3" s="1"/>
  <c r="W23" i="3" s="1"/>
  <c r="U24" i="3"/>
  <c r="V24" i="3" s="1"/>
  <c r="W24" i="3" s="1"/>
  <c r="U25" i="3"/>
  <c r="V25" i="3" s="1"/>
  <c r="U26" i="3"/>
  <c r="V26" i="3" s="1"/>
  <c r="W26" i="3" s="1"/>
  <c r="U27" i="3"/>
  <c r="V27" i="3" s="1"/>
  <c r="U28" i="3"/>
  <c r="U29" i="3"/>
  <c r="V29" i="3" s="1"/>
  <c r="U30" i="3"/>
  <c r="V30" i="3" s="1"/>
  <c r="W30" i="3" s="1"/>
  <c r="U31" i="3"/>
  <c r="V31" i="3" s="1"/>
  <c r="W31" i="3" s="1"/>
  <c r="U32" i="3"/>
  <c r="U33" i="3"/>
  <c r="V33" i="3" s="1"/>
  <c r="U34" i="3"/>
  <c r="V34" i="3" s="1"/>
  <c r="W34" i="3" s="1"/>
  <c r="U35" i="3"/>
  <c r="V35" i="3" s="1"/>
  <c r="W35" i="3" s="1"/>
  <c r="U36" i="3"/>
  <c r="U37" i="3"/>
  <c r="U38" i="3"/>
  <c r="U39" i="3"/>
  <c r="U40" i="3"/>
  <c r="U41" i="3"/>
  <c r="U42" i="3"/>
  <c r="U43" i="3"/>
  <c r="U44" i="3"/>
  <c r="V44" i="3" s="1"/>
  <c r="U45" i="3"/>
  <c r="V45" i="3" s="1"/>
  <c r="U46" i="3"/>
  <c r="V46" i="3" s="1"/>
  <c r="W46" i="3" s="1"/>
  <c r="U47" i="3"/>
  <c r="V47" i="3" s="1"/>
  <c r="U48" i="3"/>
  <c r="U49" i="3"/>
  <c r="V49" i="3" s="1"/>
  <c r="U50" i="3"/>
  <c r="V50" i="3" s="1"/>
  <c r="U51" i="3"/>
  <c r="V51" i="3" s="1"/>
  <c r="W51" i="3" s="1"/>
  <c r="U4" i="3"/>
  <c r="V4" i="3" s="1"/>
  <c r="R5" i="3"/>
  <c r="S5" i="3" s="1"/>
  <c r="T5" i="3" s="1"/>
  <c r="R6" i="3"/>
  <c r="R7" i="3"/>
  <c r="S7" i="3" s="1"/>
  <c r="T7" i="3" s="1"/>
  <c r="R8" i="3"/>
  <c r="S8" i="3" s="1"/>
  <c r="R9" i="3"/>
  <c r="S9" i="3" s="1"/>
  <c r="R10" i="3"/>
  <c r="S10" i="3" s="1"/>
  <c r="T10" i="3" s="1"/>
  <c r="R11" i="3"/>
  <c r="S11" i="3" s="1"/>
  <c r="R12" i="3"/>
  <c r="S12" i="3" s="1"/>
  <c r="R13" i="3"/>
  <c r="S13" i="3" s="1"/>
  <c r="T13" i="3" s="1"/>
  <c r="R14" i="3"/>
  <c r="S14" i="3" s="1"/>
  <c r="R15" i="3"/>
  <c r="S15" i="3" s="1"/>
  <c r="R16" i="3"/>
  <c r="S16" i="3" s="1"/>
  <c r="R17" i="3"/>
  <c r="S17" i="3" s="1"/>
  <c r="R18" i="3"/>
  <c r="S18" i="3" s="1"/>
  <c r="T18" i="3" s="1"/>
  <c r="R19" i="3"/>
  <c r="S19" i="3" s="1"/>
  <c r="R20" i="3"/>
  <c r="S20" i="3" s="1"/>
  <c r="R21" i="3"/>
  <c r="S21" i="3" s="1"/>
  <c r="T21" i="3" s="1"/>
  <c r="R22" i="3"/>
  <c r="S22" i="3" s="1"/>
  <c r="T22" i="3" s="1"/>
  <c r="R23" i="3"/>
  <c r="S23" i="3" s="1"/>
  <c r="T23" i="3" s="1"/>
  <c r="R24" i="3"/>
  <c r="R25" i="3"/>
  <c r="S25" i="3" s="1"/>
  <c r="T25" i="3" s="1"/>
  <c r="R26" i="3"/>
  <c r="S26" i="3" s="1"/>
  <c r="T26" i="3" s="1"/>
  <c r="R27" i="3"/>
  <c r="S27" i="3" s="1"/>
  <c r="R28" i="3"/>
  <c r="S28" i="3" s="1"/>
  <c r="R29" i="3"/>
  <c r="S29" i="3" s="1"/>
  <c r="R30" i="3"/>
  <c r="S30" i="3" s="1"/>
  <c r="T30" i="3" s="1"/>
  <c r="R31" i="3"/>
  <c r="S31" i="3" s="1"/>
  <c r="T31" i="3" s="1"/>
  <c r="R32" i="3"/>
  <c r="S32" i="3" s="1"/>
  <c r="T32" i="3" s="1"/>
  <c r="R33" i="3"/>
  <c r="S33" i="3" s="1"/>
  <c r="R34" i="3"/>
  <c r="S34" i="3" s="1"/>
  <c r="T34" i="3" s="1"/>
  <c r="R35" i="3"/>
  <c r="S35" i="3" s="1"/>
  <c r="T35" i="3" s="1"/>
  <c r="R36" i="3"/>
  <c r="S36" i="3" s="1"/>
  <c r="T36" i="3" s="1"/>
  <c r="R37" i="3"/>
  <c r="S37" i="3" s="1"/>
  <c r="R38" i="3"/>
  <c r="S38" i="3" s="1"/>
  <c r="R39" i="3"/>
  <c r="S39" i="3" s="1"/>
  <c r="R40" i="3"/>
  <c r="S40" i="3" s="1"/>
  <c r="R41" i="3"/>
  <c r="R42" i="3"/>
  <c r="S42" i="3" s="1"/>
  <c r="R43" i="3"/>
  <c r="S43" i="3" s="1"/>
  <c r="R44" i="3"/>
  <c r="S44" i="3" s="1"/>
  <c r="R45" i="3"/>
  <c r="S45" i="3" s="1"/>
  <c r="R46" i="3"/>
  <c r="S46" i="3" s="1"/>
  <c r="R47" i="3"/>
  <c r="S47" i="3" s="1"/>
  <c r="T47" i="3" s="1"/>
  <c r="R48" i="3"/>
  <c r="S48" i="3" s="1"/>
  <c r="R49" i="3"/>
  <c r="R50" i="3"/>
  <c r="S50" i="3" s="1"/>
  <c r="R51" i="3"/>
  <c r="S51" i="3" s="1"/>
  <c r="T51" i="3" s="1"/>
  <c r="R4" i="3"/>
  <c r="M5" i="3"/>
  <c r="M6" i="3"/>
  <c r="M7" i="3"/>
  <c r="N7" i="3" s="1"/>
  <c r="M8" i="3"/>
  <c r="N8" i="3" s="1"/>
  <c r="M9" i="3"/>
  <c r="M10" i="3"/>
  <c r="Q10" i="3" s="1"/>
  <c r="M11" i="3"/>
  <c r="M12" i="3"/>
  <c r="Q12" i="3" s="1"/>
  <c r="M13" i="3"/>
  <c r="P13" i="3" s="1"/>
  <c r="M14" i="3"/>
  <c r="P14" i="3" s="1"/>
  <c r="M15" i="3"/>
  <c r="N15" i="3" s="1"/>
  <c r="O15" i="3" s="1"/>
  <c r="M16" i="3"/>
  <c r="Q16" i="3" s="1"/>
  <c r="M17" i="3"/>
  <c r="P17" i="3" s="1"/>
  <c r="M18" i="3"/>
  <c r="N18" i="3" s="1"/>
  <c r="O18" i="3" s="1"/>
  <c r="M19" i="3"/>
  <c r="N19" i="3" s="1"/>
  <c r="M20" i="3"/>
  <c r="Q20" i="3" s="1"/>
  <c r="M21" i="3"/>
  <c r="N21" i="3" s="1"/>
  <c r="M22" i="3"/>
  <c r="N22" i="3" s="1"/>
  <c r="O22" i="3" s="1"/>
  <c r="M23" i="3"/>
  <c r="Q23" i="3" s="1"/>
  <c r="M24" i="3"/>
  <c r="M25" i="3"/>
  <c r="M26" i="3"/>
  <c r="N26" i="3" s="1"/>
  <c r="O26" i="3" s="1"/>
  <c r="M27" i="3"/>
  <c r="N27" i="3" s="1"/>
  <c r="M28" i="3"/>
  <c r="N28" i="3" s="1"/>
  <c r="M29" i="3"/>
  <c r="N29" i="3" s="1"/>
  <c r="M30" i="3"/>
  <c r="M31" i="3"/>
  <c r="M32" i="3"/>
  <c r="P32" i="3" s="1"/>
  <c r="M33" i="3"/>
  <c r="Q33" i="3" s="1"/>
  <c r="M34" i="3"/>
  <c r="M35" i="3"/>
  <c r="Q35" i="3" s="1"/>
  <c r="M36" i="3"/>
  <c r="Q36" i="3" s="1"/>
  <c r="M37" i="3"/>
  <c r="N37" i="3" s="1"/>
  <c r="M38" i="3"/>
  <c r="Q38" i="3" s="1"/>
  <c r="M39" i="3"/>
  <c r="M40" i="3"/>
  <c r="M41" i="3"/>
  <c r="N41" i="3" s="1"/>
  <c r="M42" i="3"/>
  <c r="M43" i="3"/>
  <c r="P43" i="3" s="1"/>
  <c r="M44" i="3"/>
  <c r="Q44" i="3" s="1"/>
  <c r="M45" i="3"/>
  <c r="N45" i="3" s="1"/>
  <c r="M46" i="3"/>
  <c r="N46" i="3" s="1"/>
  <c r="M47" i="3"/>
  <c r="N47" i="3" s="1"/>
  <c r="O47" i="3" s="1"/>
  <c r="M48" i="3"/>
  <c r="M49" i="3"/>
  <c r="Q49" i="3" s="1"/>
  <c r="M50" i="3"/>
  <c r="M51" i="3"/>
  <c r="Q51" i="3" s="1"/>
  <c r="M4" i="3"/>
  <c r="P4" i="3" s="1"/>
  <c r="F5" i="3"/>
  <c r="F6" i="3"/>
  <c r="F7" i="3"/>
  <c r="F8" i="3"/>
  <c r="K8" i="3" s="1"/>
  <c r="F9" i="3"/>
  <c r="F10" i="3"/>
  <c r="F11" i="3"/>
  <c r="L11" i="3" s="1"/>
  <c r="F12" i="3"/>
  <c r="F13" i="3"/>
  <c r="J13" i="3" s="1"/>
  <c r="F14" i="3"/>
  <c r="F15" i="3"/>
  <c r="F16" i="3"/>
  <c r="F17" i="3"/>
  <c r="K17" i="3" s="1"/>
  <c r="F18" i="3"/>
  <c r="J18" i="3" s="1"/>
  <c r="F19" i="3"/>
  <c r="F20" i="3"/>
  <c r="I20" i="3" s="1"/>
  <c r="F21" i="3"/>
  <c r="I21" i="3" s="1"/>
  <c r="F22" i="3"/>
  <c r="F23" i="3"/>
  <c r="F24" i="3"/>
  <c r="I24" i="3" s="1"/>
  <c r="F25" i="3"/>
  <c r="F26" i="3"/>
  <c r="I26" i="3" s="1"/>
  <c r="F27" i="3"/>
  <c r="F28" i="3"/>
  <c r="K28" i="3" s="1"/>
  <c r="F29" i="3"/>
  <c r="I29" i="3" s="1"/>
  <c r="F30" i="3"/>
  <c r="G30" i="3" s="1"/>
  <c r="F31" i="3"/>
  <c r="F32" i="3"/>
  <c r="F33" i="3"/>
  <c r="F34" i="3"/>
  <c r="F35" i="3"/>
  <c r="F36" i="3"/>
  <c r="F37" i="3"/>
  <c r="G37" i="3" s="1"/>
  <c r="F38" i="3"/>
  <c r="F39" i="3"/>
  <c r="F40" i="3"/>
  <c r="J40" i="3" s="1"/>
  <c r="F41" i="3"/>
  <c r="F42" i="3"/>
  <c r="F43" i="3"/>
  <c r="F44" i="3"/>
  <c r="F45" i="3"/>
  <c r="G45" i="3" s="1"/>
  <c r="F46" i="3"/>
  <c r="F47" i="3"/>
  <c r="F48" i="3"/>
  <c r="G48" i="3" s="1"/>
  <c r="F49" i="3"/>
  <c r="F50" i="3"/>
  <c r="F51" i="3"/>
  <c r="J51" i="3" s="1"/>
  <c r="F4" i="3"/>
  <c r="K4" i="3" s="1"/>
  <c r="E51" i="3"/>
  <c r="Y50" i="3"/>
  <c r="E50" i="3"/>
  <c r="S49" i="3"/>
  <c r="N49" i="3"/>
  <c r="E49" i="3"/>
  <c r="AB48" i="3"/>
  <c r="AC48" i="3" s="1"/>
  <c r="V48" i="3"/>
  <c r="Q48" i="3"/>
  <c r="E48" i="3"/>
  <c r="E47" i="3"/>
  <c r="AB46" i="3"/>
  <c r="AC46" i="3" s="1"/>
  <c r="E46" i="3"/>
  <c r="Q45" i="3"/>
  <c r="I45" i="3"/>
  <c r="E45" i="3"/>
  <c r="P44" i="3"/>
  <c r="N44" i="3"/>
  <c r="I44" i="3"/>
  <c r="E44" i="3"/>
  <c r="N43" i="3"/>
  <c r="E43" i="3"/>
  <c r="W43" i="3" s="1"/>
  <c r="G42" i="3"/>
  <c r="E42" i="3"/>
  <c r="S41" i="3"/>
  <c r="Q41" i="3"/>
  <c r="E41" i="3"/>
  <c r="Y40" i="3"/>
  <c r="Z40" i="3" s="1"/>
  <c r="P40" i="3"/>
  <c r="K40" i="3"/>
  <c r="E40" i="3"/>
  <c r="W40" i="3" s="1"/>
  <c r="E39" i="3"/>
  <c r="W39" i="3" s="1"/>
  <c r="G38" i="3"/>
  <c r="E38" i="3"/>
  <c r="Q37" i="3"/>
  <c r="I37" i="3"/>
  <c r="E37" i="3"/>
  <c r="E36" i="3"/>
  <c r="W36" i="3" s="1"/>
  <c r="E35" i="3"/>
  <c r="J34" i="3"/>
  <c r="E34" i="3"/>
  <c r="Y33" i="3"/>
  <c r="P33" i="3"/>
  <c r="E33" i="3"/>
  <c r="V32" i="3"/>
  <c r="W32" i="3" s="1"/>
  <c r="N32" i="3"/>
  <c r="O32" i="3" s="1"/>
  <c r="K32" i="3"/>
  <c r="E32" i="3"/>
  <c r="AB31" i="3"/>
  <c r="AC31" i="3" s="1"/>
  <c r="E31" i="3"/>
  <c r="E30" i="3"/>
  <c r="Q29" i="3"/>
  <c r="G29" i="3"/>
  <c r="H29" i="3" s="1"/>
  <c r="E29" i="3"/>
  <c r="Y28" i="3"/>
  <c r="V28" i="3"/>
  <c r="P28" i="3"/>
  <c r="E28" i="3"/>
  <c r="AE27" i="3"/>
  <c r="E27" i="3"/>
  <c r="E26" i="3"/>
  <c r="N25" i="3"/>
  <c r="E25" i="3"/>
  <c r="S24" i="3"/>
  <c r="T24" i="3" s="1"/>
  <c r="P24" i="3"/>
  <c r="K24" i="3"/>
  <c r="E24" i="3"/>
  <c r="AE23" i="3"/>
  <c r="AF23" i="3" s="1"/>
  <c r="E23" i="3"/>
  <c r="E22" i="3"/>
  <c r="V21" i="3"/>
  <c r="W21" i="3" s="1"/>
  <c r="E21" i="3"/>
  <c r="AB20" i="3"/>
  <c r="AC20" i="3" s="1"/>
  <c r="V20" i="3"/>
  <c r="P20" i="3"/>
  <c r="N20" i="3"/>
  <c r="G20" i="3"/>
  <c r="E20" i="3"/>
  <c r="AE19" i="3"/>
  <c r="E19" i="3"/>
  <c r="I18" i="3"/>
  <c r="E18" i="3"/>
  <c r="V17" i="3"/>
  <c r="W17" i="3" s="1"/>
  <c r="N17" i="3"/>
  <c r="O17" i="3" s="1"/>
  <c r="E17" i="3"/>
  <c r="AB16" i="3"/>
  <c r="Y16" i="3"/>
  <c r="Z16" i="3" s="1"/>
  <c r="P16" i="3"/>
  <c r="L16" i="3"/>
  <c r="G16" i="3"/>
  <c r="H16" i="3" s="1"/>
  <c r="E16" i="3"/>
  <c r="W16" i="3" s="1"/>
  <c r="E15" i="3"/>
  <c r="E14" i="3"/>
  <c r="AB13" i="3"/>
  <c r="AC13" i="3" s="1"/>
  <c r="G13" i="3"/>
  <c r="H13" i="3" s="1"/>
  <c r="E13" i="3"/>
  <c r="P12" i="3"/>
  <c r="N12" i="3"/>
  <c r="K12" i="3"/>
  <c r="E12" i="3"/>
  <c r="I11" i="3"/>
  <c r="E11" i="3"/>
  <c r="E10" i="3"/>
  <c r="AE9" i="3"/>
  <c r="E9" i="3"/>
  <c r="V8" i="3"/>
  <c r="Q8" i="3"/>
  <c r="G8" i="3"/>
  <c r="E8" i="3"/>
  <c r="J7" i="3"/>
  <c r="E7" i="3"/>
  <c r="S6" i="3"/>
  <c r="E6" i="3"/>
  <c r="V5" i="3"/>
  <c r="W5" i="3" s="1"/>
  <c r="P5" i="3"/>
  <c r="E5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E4" i="3"/>
  <c r="S4" i="3"/>
  <c r="N4" i="3"/>
  <c r="I4" i="3"/>
  <c r="G4" i="3"/>
  <c r="E4" i="3"/>
  <c r="AD5" i="2"/>
  <c r="AE5" i="2" s="1"/>
  <c r="AD6" i="2"/>
  <c r="AE6" i="2" s="1"/>
  <c r="AD7" i="2"/>
  <c r="AE7" i="2" s="1"/>
  <c r="AD8" i="2"/>
  <c r="AE8" i="2" s="1"/>
  <c r="AD9" i="2"/>
  <c r="AE9" i="2" s="1"/>
  <c r="AD10" i="2"/>
  <c r="AE10" i="2" s="1"/>
  <c r="AD11" i="2"/>
  <c r="AE11" i="2" s="1"/>
  <c r="AD12" i="2"/>
  <c r="AE12" i="2" s="1"/>
  <c r="AD13" i="2"/>
  <c r="AE13" i="2" s="1"/>
  <c r="AD14" i="2"/>
  <c r="AE14" i="2" s="1"/>
  <c r="AD15" i="2"/>
  <c r="AE15" i="2" s="1"/>
  <c r="AD16" i="2"/>
  <c r="AE16" i="2" s="1"/>
  <c r="AD17" i="2"/>
  <c r="AE17" i="2" s="1"/>
  <c r="AD18" i="2"/>
  <c r="AE18" i="2" s="1"/>
  <c r="AD19" i="2"/>
  <c r="AE19" i="2" s="1"/>
  <c r="AD20" i="2"/>
  <c r="AE20" i="2" s="1"/>
  <c r="AD21" i="2"/>
  <c r="AE21" i="2" s="1"/>
  <c r="AD22" i="2"/>
  <c r="AE22" i="2" s="1"/>
  <c r="AD23" i="2"/>
  <c r="AE23" i="2" s="1"/>
  <c r="AD24" i="2"/>
  <c r="AE24" i="2" s="1"/>
  <c r="AD25" i="2"/>
  <c r="AE25" i="2" s="1"/>
  <c r="AD26" i="2"/>
  <c r="AE26" i="2" s="1"/>
  <c r="AD27" i="2"/>
  <c r="AE27" i="2" s="1"/>
  <c r="AD28" i="2"/>
  <c r="AE28" i="2" s="1"/>
  <c r="AD29" i="2"/>
  <c r="AE29" i="2" s="1"/>
  <c r="AD30" i="2"/>
  <c r="AE30" i="2" s="1"/>
  <c r="AD31" i="2"/>
  <c r="AE31" i="2" s="1"/>
  <c r="AD32" i="2"/>
  <c r="AE32" i="2" s="1"/>
  <c r="AD33" i="2"/>
  <c r="AE33" i="2" s="1"/>
  <c r="AD34" i="2"/>
  <c r="AE34" i="2" s="1"/>
  <c r="AD35" i="2"/>
  <c r="AE35" i="2" s="1"/>
  <c r="AD36" i="2"/>
  <c r="AE36" i="2" s="1"/>
  <c r="AD37" i="2"/>
  <c r="AE37" i="2" s="1"/>
  <c r="AD38" i="2"/>
  <c r="AE38" i="2" s="1"/>
  <c r="AD39" i="2"/>
  <c r="AE39" i="2" s="1"/>
  <c r="AD40" i="2"/>
  <c r="AE40" i="2" s="1"/>
  <c r="AD41" i="2"/>
  <c r="AE41" i="2" s="1"/>
  <c r="AD42" i="2"/>
  <c r="AE42" i="2" s="1"/>
  <c r="AD43" i="2"/>
  <c r="AE43" i="2" s="1"/>
  <c r="AD44" i="2"/>
  <c r="AE44" i="2" s="1"/>
  <c r="AD45" i="2"/>
  <c r="AE45" i="2" s="1"/>
  <c r="AD46" i="2"/>
  <c r="AE46" i="2" s="1"/>
  <c r="AD47" i="2"/>
  <c r="AE47" i="2" s="1"/>
  <c r="AD48" i="2"/>
  <c r="AE48" i="2" s="1"/>
  <c r="AD49" i="2"/>
  <c r="AE49" i="2" s="1"/>
  <c r="AD50" i="2"/>
  <c r="AE50" i="2" s="1"/>
  <c r="AD51" i="2"/>
  <c r="AE51" i="2" s="1"/>
  <c r="AD4" i="2"/>
  <c r="AE4" i="2" s="1"/>
  <c r="M5" i="2"/>
  <c r="P5" i="2" s="1"/>
  <c r="M6" i="2"/>
  <c r="P6" i="2" s="1"/>
  <c r="M7" i="2"/>
  <c r="P7" i="2" s="1"/>
  <c r="M8" i="2"/>
  <c r="P8" i="2" s="1"/>
  <c r="M9" i="2"/>
  <c r="P9" i="2" s="1"/>
  <c r="M10" i="2"/>
  <c r="P10" i="2" s="1"/>
  <c r="M11" i="2"/>
  <c r="P11" i="2" s="1"/>
  <c r="M12" i="2"/>
  <c r="P12" i="2" s="1"/>
  <c r="M13" i="2"/>
  <c r="P13" i="2" s="1"/>
  <c r="M14" i="2"/>
  <c r="P14" i="2" s="1"/>
  <c r="M15" i="2"/>
  <c r="P15" i="2" s="1"/>
  <c r="M16" i="2"/>
  <c r="P16" i="2" s="1"/>
  <c r="M17" i="2"/>
  <c r="P17" i="2" s="1"/>
  <c r="M18" i="2"/>
  <c r="P18" i="2" s="1"/>
  <c r="M19" i="2"/>
  <c r="P19" i="2" s="1"/>
  <c r="M20" i="2"/>
  <c r="P20" i="2" s="1"/>
  <c r="M21" i="2"/>
  <c r="P21" i="2" s="1"/>
  <c r="M22" i="2"/>
  <c r="P22" i="2" s="1"/>
  <c r="M23" i="2"/>
  <c r="P23" i="2" s="1"/>
  <c r="M24" i="2"/>
  <c r="P24" i="2" s="1"/>
  <c r="M25" i="2"/>
  <c r="P25" i="2" s="1"/>
  <c r="M26" i="2"/>
  <c r="P26" i="2" s="1"/>
  <c r="M27" i="2"/>
  <c r="P27" i="2" s="1"/>
  <c r="M28" i="2"/>
  <c r="P28" i="2" s="1"/>
  <c r="M29" i="2"/>
  <c r="P29" i="2" s="1"/>
  <c r="M30" i="2"/>
  <c r="P30" i="2" s="1"/>
  <c r="M31" i="2"/>
  <c r="P31" i="2" s="1"/>
  <c r="M32" i="2"/>
  <c r="P32" i="2" s="1"/>
  <c r="M33" i="2"/>
  <c r="P33" i="2" s="1"/>
  <c r="M34" i="2"/>
  <c r="P34" i="2" s="1"/>
  <c r="M35" i="2"/>
  <c r="P35" i="2" s="1"/>
  <c r="M36" i="2"/>
  <c r="P36" i="2" s="1"/>
  <c r="M37" i="2"/>
  <c r="P37" i="2" s="1"/>
  <c r="M38" i="2"/>
  <c r="P38" i="2" s="1"/>
  <c r="M39" i="2"/>
  <c r="P39" i="2" s="1"/>
  <c r="M40" i="2"/>
  <c r="P40" i="2" s="1"/>
  <c r="M41" i="2"/>
  <c r="P41" i="2" s="1"/>
  <c r="M42" i="2"/>
  <c r="P42" i="2" s="1"/>
  <c r="M43" i="2"/>
  <c r="P43" i="2" s="1"/>
  <c r="M44" i="2"/>
  <c r="P44" i="2" s="1"/>
  <c r="M45" i="2"/>
  <c r="P45" i="2" s="1"/>
  <c r="M46" i="2"/>
  <c r="P46" i="2" s="1"/>
  <c r="M47" i="2"/>
  <c r="P47" i="2" s="1"/>
  <c r="M48" i="2"/>
  <c r="P48" i="2" s="1"/>
  <c r="M49" i="2"/>
  <c r="P49" i="2" s="1"/>
  <c r="M50" i="2"/>
  <c r="P50" i="2" s="1"/>
  <c r="M51" i="2"/>
  <c r="P51" i="2" s="1"/>
  <c r="M4" i="2"/>
  <c r="P4" i="2" s="1"/>
  <c r="J4" i="14" l="1"/>
  <c r="G4" i="14"/>
  <c r="I4" i="14"/>
  <c r="I48" i="14"/>
  <c r="K48" i="14"/>
  <c r="K44" i="14"/>
  <c r="G44" i="14"/>
  <c r="J44" i="14"/>
  <c r="I40" i="14"/>
  <c r="K40" i="14"/>
  <c r="K36" i="14"/>
  <c r="I36" i="14"/>
  <c r="I24" i="14"/>
  <c r="K24" i="14"/>
  <c r="G24" i="14"/>
  <c r="H24" i="14" s="1"/>
  <c r="J24" i="14"/>
  <c r="L20" i="14"/>
  <c r="G20" i="14"/>
  <c r="H20" i="14" s="1"/>
  <c r="K20" i="14"/>
  <c r="I20" i="14"/>
  <c r="K12" i="14"/>
  <c r="J12" i="14"/>
  <c r="G12" i="14"/>
  <c r="H12" i="14" s="1"/>
  <c r="P4" i="14"/>
  <c r="N4" i="14"/>
  <c r="N48" i="14"/>
  <c r="Q48" i="14"/>
  <c r="P48" i="14"/>
  <c r="Q40" i="14"/>
  <c r="P40" i="14"/>
  <c r="N40" i="14"/>
  <c r="N32" i="14"/>
  <c r="O32" i="14" s="1"/>
  <c r="P32" i="14"/>
  <c r="Q32" i="14"/>
  <c r="P28" i="14"/>
  <c r="N28" i="14"/>
  <c r="Q28" i="14"/>
  <c r="Q24" i="14"/>
  <c r="P24" i="14"/>
  <c r="Q20" i="14"/>
  <c r="P20" i="14"/>
  <c r="P16" i="14"/>
  <c r="N16" i="14"/>
  <c r="O16" i="14" s="1"/>
  <c r="N12" i="14"/>
  <c r="O12" i="14" s="1"/>
  <c r="P12" i="14"/>
  <c r="Q8" i="14"/>
  <c r="P8" i="14"/>
  <c r="N8" i="14"/>
  <c r="O8" i="14" s="1"/>
  <c r="I25" i="3"/>
  <c r="G25" i="3"/>
  <c r="N9" i="3"/>
  <c r="O9" i="3" s="1"/>
  <c r="P9" i="3"/>
  <c r="AC25" i="5"/>
  <c r="J4" i="10"/>
  <c r="L4" i="10"/>
  <c r="I4" i="10"/>
  <c r="I40" i="10"/>
  <c r="J40" i="10"/>
  <c r="K40" i="10"/>
  <c r="J12" i="10"/>
  <c r="I12" i="10"/>
  <c r="P36" i="10"/>
  <c r="N36" i="10"/>
  <c r="N24" i="10"/>
  <c r="O24" i="10" s="1"/>
  <c r="P24" i="10"/>
  <c r="P20" i="10"/>
  <c r="N20" i="10"/>
  <c r="O20" i="10" s="1"/>
  <c r="Q20" i="10"/>
  <c r="P16" i="10"/>
  <c r="Q16" i="10"/>
  <c r="P32" i="12"/>
  <c r="Q32" i="12"/>
  <c r="Q16" i="12"/>
  <c r="P16" i="12"/>
  <c r="N20" i="14"/>
  <c r="O20" i="14" s="1"/>
  <c r="K13" i="5"/>
  <c r="I13" i="5"/>
  <c r="Q25" i="6"/>
  <c r="P25" i="6"/>
  <c r="N5" i="6"/>
  <c r="O5" i="6" s="1"/>
  <c r="P5" i="6"/>
  <c r="J49" i="3"/>
  <c r="I49" i="3"/>
  <c r="G41" i="3"/>
  <c r="H41" i="3" s="1"/>
  <c r="I41" i="3"/>
  <c r="J33" i="3"/>
  <c r="K33" i="3"/>
  <c r="I5" i="3"/>
  <c r="G5" i="3"/>
  <c r="H5" i="3" s="1"/>
  <c r="P10" i="3"/>
  <c r="K13" i="3"/>
  <c r="G21" i="3"/>
  <c r="H21" i="3" s="1"/>
  <c r="P29" i="3"/>
  <c r="W33" i="3"/>
  <c r="I16" i="3"/>
  <c r="K16" i="3"/>
  <c r="I12" i="3"/>
  <c r="L12" i="3"/>
  <c r="P48" i="3"/>
  <c r="N48" i="3"/>
  <c r="O48" i="3" s="1"/>
  <c r="N40" i="3"/>
  <c r="Q40" i="3"/>
  <c r="N24" i="3"/>
  <c r="O24" i="3" s="1"/>
  <c r="Q24" i="3"/>
  <c r="L13" i="5"/>
  <c r="N49" i="5"/>
  <c r="K4" i="6"/>
  <c r="I20" i="6"/>
  <c r="J25" i="6"/>
  <c r="J28" i="6"/>
  <c r="P32" i="6"/>
  <c r="G36" i="6"/>
  <c r="H36" i="6" s="1"/>
  <c r="N40" i="6"/>
  <c r="G44" i="6"/>
  <c r="H44" i="6" s="1"/>
  <c r="N45" i="6"/>
  <c r="O45" i="6" s="1"/>
  <c r="N48" i="6"/>
  <c r="N35" i="6"/>
  <c r="O35" i="6" s="1"/>
  <c r="P35" i="6"/>
  <c r="I38" i="7"/>
  <c r="K38" i="7"/>
  <c r="G30" i="7"/>
  <c r="I30" i="7"/>
  <c r="I26" i="7"/>
  <c r="G26" i="7"/>
  <c r="Q50" i="7"/>
  <c r="P50" i="7"/>
  <c r="K50" i="8"/>
  <c r="I50" i="8"/>
  <c r="J38" i="8"/>
  <c r="I38" i="8"/>
  <c r="K38" i="8"/>
  <c r="J30" i="8"/>
  <c r="I30" i="8"/>
  <c r="I26" i="8"/>
  <c r="J26" i="8"/>
  <c r="J14" i="8"/>
  <c r="I14" i="8"/>
  <c r="I10" i="8"/>
  <c r="J10" i="8"/>
  <c r="J6" i="8"/>
  <c r="I6" i="8"/>
  <c r="N38" i="8"/>
  <c r="O38" i="8" s="1"/>
  <c r="P38" i="8"/>
  <c r="N30" i="8"/>
  <c r="O30" i="8" s="1"/>
  <c r="Q30" i="8"/>
  <c r="P10" i="8"/>
  <c r="Q10" i="8"/>
  <c r="P8" i="10"/>
  <c r="I51" i="11"/>
  <c r="J51" i="11"/>
  <c r="G47" i="11"/>
  <c r="H47" i="11" s="1"/>
  <c r="K47" i="11"/>
  <c r="L11" i="11"/>
  <c r="I11" i="11"/>
  <c r="P47" i="11"/>
  <c r="Q47" i="11"/>
  <c r="N47" i="11"/>
  <c r="N43" i="11"/>
  <c r="Q43" i="11"/>
  <c r="P43" i="11"/>
  <c r="N39" i="11"/>
  <c r="P39" i="11"/>
  <c r="Q39" i="11"/>
  <c r="P8" i="12"/>
  <c r="I39" i="13"/>
  <c r="J39" i="13"/>
  <c r="P39" i="13"/>
  <c r="N39" i="13"/>
  <c r="O39" i="13" s="1"/>
  <c r="N35" i="13"/>
  <c r="O35" i="13" s="1"/>
  <c r="P35" i="13"/>
  <c r="L4" i="14"/>
  <c r="P8" i="3"/>
  <c r="N10" i="3"/>
  <c r="O10" i="3" s="1"/>
  <c r="G12" i="3"/>
  <c r="H12" i="3" s="1"/>
  <c r="N13" i="3"/>
  <c r="O13" i="3" s="1"/>
  <c r="N16" i="3"/>
  <c r="O16" i="3" s="1"/>
  <c r="K20" i="3"/>
  <c r="G24" i="3"/>
  <c r="H24" i="3" s="1"/>
  <c r="Q28" i="3"/>
  <c r="Q32" i="3"/>
  <c r="G33" i="3"/>
  <c r="Q30" i="5"/>
  <c r="P30" i="5"/>
  <c r="P14" i="5"/>
  <c r="N14" i="5"/>
  <c r="N6" i="5"/>
  <c r="P6" i="5"/>
  <c r="Q16" i="6"/>
  <c r="P28" i="6"/>
  <c r="Q32" i="6"/>
  <c r="J44" i="6"/>
  <c r="P48" i="6"/>
  <c r="L10" i="7"/>
  <c r="J18" i="7"/>
  <c r="P22" i="7"/>
  <c r="N26" i="7"/>
  <c r="O26" i="7" s="1"/>
  <c r="J30" i="7"/>
  <c r="N34" i="7"/>
  <c r="N38" i="7"/>
  <c r="O38" i="7" s="1"/>
  <c r="I50" i="7"/>
  <c r="P45" i="7"/>
  <c r="N45" i="7"/>
  <c r="P41" i="7"/>
  <c r="Q41" i="7"/>
  <c r="Q14" i="8"/>
  <c r="P18" i="8"/>
  <c r="P30" i="8"/>
  <c r="N42" i="8"/>
  <c r="P49" i="9"/>
  <c r="N49" i="9"/>
  <c r="P41" i="9"/>
  <c r="Q41" i="9"/>
  <c r="Q33" i="9"/>
  <c r="P33" i="9"/>
  <c r="P29" i="9"/>
  <c r="Q29" i="9"/>
  <c r="J8" i="14"/>
  <c r="N24" i="14"/>
  <c r="O24" i="14" s="1"/>
  <c r="G33" i="13"/>
  <c r="H33" i="13" s="1"/>
  <c r="K33" i="13"/>
  <c r="P41" i="13"/>
  <c r="Q41" i="13"/>
  <c r="N6" i="14"/>
  <c r="O6" i="14" s="1"/>
  <c r="Q6" i="14"/>
  <c r="W48" i="6"/>
  <c r="I48" i="8"/>
  <c r="J48" i="8"/>
  <c r="G24" i="8"/>
  <c r="I24" i="8"/>
  <c r="J20" i="8"/>
  <c r="I20" i="8"/>
  <c r="G16" i="8"/>
  <c r="H16" i="8" s="1"/>
  <c r="I16" i="8"/>
  <c r="Q12" i="8"/>
  <c r="P12" i="8"/>
  <c r="Q8" i="8"/>
  <c r="P8" i="8"/>
  <c r="K43" i="9"/>
  <c r="G43" i="9"/>
  <c r="H43" i="9" s="1"/>
  <c r="P31" i="9"/>
  <c r="Q31" i="9"/>
  <c r="Q23" i="9"/>
  <c r="N23" i="9"/>
  <c r="O23" i="9" s="1"/>
  <c r="AC29" i="11"/>
  <c r="K50" i="11"/>
  <c r="I50" i="11"/>
  <c r="I46" i="11"/>
  <c r="K46" i="11"/>
  <c r="I42" i="11"/>
  <c r="K42" i="11"/>
  <c r="AC34" i="11"/>
  <c r="G46" i="11"/>
  <c r="H46" i="11" s="1"/>
  <c r="I44" i="11"/>
  <c r="K44" i="11"/>
  <c r="J40" i="11"/>
  <c r="I40" i="11"/>
  <c r="I28" i="11"/>
  <c r="G28" i="11"/>
  <c r="H28" i="11" s="1"/>
  <c r="Z4" i="12"/>
  <c r="P43" i="12"/>
  <c r="N43" i="12"/>
  <c r="P27" i="12"/>
  <c r="N27" i="12"/>
  <c r="O27" i="12" s="1"/>
  <c r="P15" i="12"/>
  <c r="N15" i="12"/>
  <c r="Q7" i="12"/>
  <c r="P7" i="12"/>
  <c r="H44" i="14"/>
  <c r="Z48" i="14"/>
  <c r="AF29" i="3"/>
  <c r="P35" i="5"/>
  <c r="I12" i="13"/>
  <c r="K12" i="13"/>
  <c r="L5" i="3"/>
  <c r="K21" i="3"/>
  <c r="K25" i="3"/>
  <c r="J29" i="3"/>
  <c r="I33" i="3"/>
  <c r="N33" i="3"/>
  <c r="O33" i="3" s="1"/>
  <c r="J37" i="3"/>
  <c r="P37" i="3"/>
  <c r="K41" i="3"/>
  <c r="J45" i="3"/>
  <c r="P45" i="3"/>
  <c r="G49" i="3"/>
  <c r="H49" i="3" s="1"/>
  <c r="P49" i="3"/>
  <c r="K48" i="3"/>
  <c r="J48" i="3"/>
  <c r="J44" i="3"/>
  <c r="G44" i="3"/>
  <c r="G40" i="3"/>
  <c r="H40" i="3" s="1"/>
  <c r="I40" i="3"/>
  <c r="Q19" i="5"/>
  <c r="Q35" i="5"/>
  <c r="J4" i="5"/>
  <c r="I4" i="5"/>
  <c r="L4" i="5"/>
  <c r="J45" i="6"/>
  <c r="G45" i="6"/>
  <c r="I45" i="6"/>
  <c r="J41" i="6"/>
  <c r="K41" i="6"/>
  <c r="I41" i="6"/>
  <c r="J37" i="6"/>
  <c r="G37" i="6"/>
  <c r="H37" i="6" s="1"/>
  <c r="I17" i="6"/>
  <c r="G17" i="6"/>
  <c r="H17" i="6" s="1"/>
  <c r="J17" i="6"/>
  <c r="I13" i="6"/>
  <c r="L13" i="6"/>
  <c r="J13" i="6"/>
  <c r="J9" i="6"/>
  <c r="L9" i="6"/>
  <c r="I5" i="6"/>
  <c r="J5" i="6"/>
  <c r="N49" i="6"/>
  <c r="O49" i="6" s="1"/>
  <c r="P49" i="6"/>
  <c r="Q49" i="6"/>
  <c r="P33" i="6"/>
  <c r="Q33" i="6"/>
  <c r="N33" i="6"/>
  <c r="O33" i="6" s="1"/>
  <c r="Q17" i="6"/>
  <c r="N17" i="6"/>
  <c r="O17" i="6" s="1"/>
  <c r="P9" i="6"/>
  <c r="N9" i="6"/>
  <c r="O9" i="6" s="1"/>
  <c r="I4" i="11"/>
  <c r="G4" i="11"/>
  <c r="J4" i="11"/>
  <c r="I48" i="11"/>
  <c r="J48" i="11"/>
  <c r="K32" i="11"/>
  <c r="G32" i="11"/>
  <c r="H32" i="11" s="1"/>
  <c r="G24" i="11"/>
  <c r="H24" i="11" s="1"/>
  <c r="K24" i="11"/>
  <c r="J8" i="11"/>
  <c r="K8" i="11"/>
  <c r="P16" i="11"/>
  <c r="Q16" i="11"/>
  <c r="Q12" i="11"/>
  <c r="N12" i="11"/>
  <c r="O12" i="11" s="1"/>
  <c r="I45" i="14"/>
  <c r="G45" i="14"/>
  <c r="J41" i="14"/>
  <c r="I41" i="14"/>
  <c r="J37" i="14"/>
  <c r="I37" i="14"/>
  <c r="G29" i="14"/>
  <c r="H29" i="14" s="1"/>
  <c r="K29" i="14"/>
  <c r="I25" i="14"/>
  <c r="G25" i="14"/>
  <c r="H25" i="14" s="1"/>
  <c r="J25" i="14"/>
  <c r="G21" i="14"/>
  <c r="H21" i="14" s="1"/>
  <c r="J21" i="14"/>
  <c r="I21" i="14"/>
  <c r="I5" i="14"/>
  <c r="J5" i="14"/>
  <c r="N41" i="14"/>
  <c r="O41" i="14" s="1"/>
  <c r="Q41" i="14"/>
  <c r="P41" i="14"/>
  <c r="N33" i="14"/>
  <c r="O33" i="14" s="1"/>
  <c r="P33" i="14"/>
  <c r="Q33" i="14"/>
  <c r="P29" i="14"/>
  <c r="N29" i="14"/>
  <c r="O29" i="14" s="1"/>
  <c r="Q29" i="14"/>
  <c r="N25" i="14"/>
  <c r="P25" i="14"/>
  <c r="Q25" i="14"/>
  <c r="Q21" i="14"/>
  <c r="N21" i="14"/>
  <c r="P21" i="14"/>
  <c r="N17" i="14"/>
  <c r="O17" i="14" s="1"/>
  <c r="P17" i="14"/>
  <c r="Q17" i="14"/>
  <c r="Q9" i="14"/>
  <c r="N9" i="14"/>
  <c r="P9" i="14"/>
  <c r="P5" i="14"/>
  <c r="Q5" i="14"/>
  <c r="N5" i="14"/>
  <c r="O5" i="14" s="1"/>
  <c r="J43" i="5"/>
  <c r="I43" i="5"/>
  <c r="K23" i="5"/>
  <c r="J23" i="5"/>
  <c r="N51" i="5"/>
  <c r="O51" i="5" s="1"/>
  <c r="P51" i="5"/>
  <c r="P7" i="5"/>
  <c r="Q7" i="5"/>
  <c r="K37" i="3"/>
  <c r="J41" i="3"/>
  <c r="P41" i="3"/>
  <c r="K45" i="3"/>
  <c r="K49" i="3"/>
  <c r="N42" i="3"/>
  <c r="Q42" i="3"/>
  <c r="G31" i="5"/>
  <c r="H31" i="5" s="1"/>
  <c r="I42" i="5"/>
  <c r="G42" i="5"/>
  <c r="K38" i="5"/>
  <c r="I38" i="5"/>
  <c r="J34" i="5"/>
  <c r="K34" i="5"/>
  <c r="K30" i="5"/>
  <c r="I30" i="5"/>
  <c r="G26" i="5"/>
  <c r="H26" i="5" s="1"/>
  <c r="J26" i="5"/>
  <c r="I22" i="5"/>
  <c r="G22" i="5"/>
  <c r="H22" i="5" s="1"/>
  <c r="G18" i="5"/>
  <c r="H18" i="5" s="1"/>
  <c r="L18" i="5"/>
  <c r="K14" i="5"/>
  <c r="I14" i="5"/>
  <c r="L10" i="5"/>
  <c r="J10" i="5"/>
  <c r="K10" i="5"/>
  <c r="G6" i="5"/>
  <c r="H6" i="5" s="1"/>
  <c r="L6" i="5"/>
  <c r="J6" i="5"/>
  <c r="N46" i="5"/>
  <c r="P46" i="5"/>
  <c r="P26" i="5"/>
  <c r="N26" i="5"/>
  <c r="I9" i="6"/>
  <c r="L17" i="6"/>
  <c r="Q21" i="6"/>
  <c r="G41" i="6"/>
  <c r="H41" i="6" s="1"/>
  <c r="I37" i="7"/>
  <c r="K37" i="7"/>
  <c r="K21" i="7"/>
  <c r="I21" i="7"/>
  <c r="N49" i="7"/>
  <c r="O49" i="7" s="1"/>
  <c r="P49" i="7"/>
  <c r="Q37" i="7"/>
  <c r="P37" i="7"/>
  <c r="Q33" i="7"/>
  <c r="P33" i="7"/>
  <c r="Q29" i="7"/>
  <c r="P29" i="7"/>
  <c r="N29" i="7"/>
  <c r="O29" i="7" s="1"/>
  <c r="Q25" i="7"/>
  <c r="P25" i="7"/>
  <c r="P21" i="7"/>
  <c r="Q21" i="7"/>
  <c r="Q17" i="7"/>
  <c r="N17" i="7"/>
  <c r="O17" i="7" s="1"/>
  <c r="P17" i="7"/>
  <c r="P13" i="7"/>
  <c r="N13" i="7"/>
  <c r="O13" i="7" s="1"/>
  <c r="N5" i="7"/>
  <c r="P5" i="7"/>
  <c r="J35" i="8"/>
  <c r="I35" i="8"/>
  <c r="I23" i="8"/>
  <c r="K23" i="8"/>
  <c r="J23" i="8"/>
  <c r="L15" i="8"/>
  <c r="J15" i="8"/>
  <c r="Q19" i="8"/>
  <c r="P19" i="8"/>
  <c r="I8" i="11"/>
  <c r="J9" i="14"/>
  <c r="G14" i="6"/>
  <c r="H14" i="6" s="1"/>
  <c r="I38" i="6"/>
  <c r="L14" i="7"/>
  <c r="Q26" i="7"/>
  <c r="Q30" i="7"/>
  <c r="I42" i="7"/>
  <c r="I21" i="8"/>
  <c r="J25" i="8"/>
  <c r="Q37" i="8"/>
  <c r="N49" i="8"/>
  <c r="G26" i="8"/>
  <c r="H26" i="8" s="1"/>
  <c r="K26" i="8"/>
  <c r="G22" i="8"/>
  <c r="I22" i="8"/>
  <c r="J18" i="8"/>
  <c r="I18" i="8"/>
  <c r="J25" i="9"/>
  <c r="I45" i="9"/>
  <c r="J42" i="9"/>
  <c r="K42" i="9"/>
  <c r="J38" i="9"/>
  <c r="G38" i="9"/>
  <c r="H38" i="9" s="1"/>
  <c r="I34" i="9"/>
  <c r="K34" i="9"/>
  <c r="G22" i="9"/>
  <c r="H22" i="9" s="1"/>
  <c r="J22" i="9"/>
  <c r="J43" i="10"/>
  <c r="K44" i="10"/>
  <c r="J44" i="10"/>
  <c r="N40" i="10"/>
  <c r="O40" i="10" s="1"/>
  <c r="Q40" i="10"/>
  <c r="P12" i="10"/>
  <c r="N12" i="10"/>
  <c r="G45" i="11"/>
  <c r="H45" i="11" s="1"/>
  <c r="Z25" i="6"/>
  <c r="Q21" i="9"/>
  <c r="P21" i="9"/>
  <c r="N13" i="9"/>
  <c r="O13" i="9" s="1"/>
  <c r="Q13" i="9"/>
  <c r="P9" i="9"/>
  <c r="N9" i="9"/>
  <c r="O9" i="9" s="1"/>
  <c r="Q5" i="9"/>
  <c r="P5" i="9"/>
  <c r="J35" i="10"/>
  <c r="I35" i="10"/>
  <c r="J31" i="10"/>
  <c r="I31" i="10"/>
  <c r="J49" i="11"/>
  <c r="G49" i="11"/>
  <c r="I21" i="11"/>
  <c r="G21" i="11"/>
  <c r="H21" i="11" s="1"/>
  <c r="P45" i="11"/>
  <c r="Q45" i="11"/>
  <c r="Q37" i="11"/>
  <c r="N37" i="11"/>
  <c r="O37" i="11" s="1"/>
  <c r="Q5" i="11"/>
  <c r="P5" i="11"/>
  <c r="G29" i="13"/>
  <c r="I29" i="13"/>
  <c r="K25" i="13"/>
  <c r="I25" i="13"/>
  <c r="G21" i="13"/>
  <c r="H21" i="13" s="1"/>
  <c r="K21" i="13"/>
  <c r="I21" i="13"/>
  <c r="K17" i="13"/>
  <c r="J17" i="13"/>
  <c r="N49" i="13"/>
  <c r="O49" i="13" s="1"/>
  <c r="P49" i="13"/>
  <c r="Q37" i="13"/>
  <c r="P37" i="13"/>
  <c r="Q33" i="13"/>
  <c r="N33" i="13"/>
  <c r="O33" i="13" s="1"/>
  <c r="Q29" i="13"/>
  <c r="P29" i="13"/>
  <c r="N25" i="13"/>
  <c r="O25" i="13" s="1"/>
  <c r="Q25" i="13"/>
  <c r="P17" i="13"/>
  <c r="N17" i="13"/>
  <c r="O17" i="13" s="1"/>
  <c r="P13" i="13"/>
  <c r="N13" i="13"/>
  <c r="O13" i="13" s="1"/>
  <c r="N38" i="14"/>
  <c r="O38" i="14" s="1"/>
  <c r="P38" i="14"/>
  <c r="N10" i="14"/>
  <c r="O10" i="14" s="1"/>
  <c r="Q10" i="14"/>
  <c r="Z5" i="7"/>
  <c r="AC10" i="7"/>
  <c r="J38" i="10"/>
  <c r="K38" i="10"/>
  <c r="K43" i="11"/>
  <c r="G43" i="11"/>
  <c r="H43" i="11" s="1"/>
  <c r="G35" i="11"/>
  <c r="H35" i="11" s="1"/>
  <c r="I35" i="11"/>
  <c r="I31" i="11"/>
  <c r="G31" i="11"/>
  <c r="H31" i="11" s="1"/>
  <c r="G27" i="11"/>
  <c r="H27" i="11" s="1"/>
  <c r="I27" i="11"/>
  <c r="I23" i="11"/>
  <c r="G23" i="11"/>
  <c r="K7" i="11"/>
  <c r="L7" i="11"/>
  <c r="Q51" i="11"/>
  <c r="P51" i="11"/>
  <c r="P15" i="11"/>
  <c r="Q15" i="11"/>
  <c r="I48" i="12"/>
  <c r="J48" i="12"/>
  <c r="I44" i="12"/>
  <c r="J44" i="12"/>
  <c r="I32" i="12"/>
  <c r="J32" i="12"/>
  <c r="G20" i="12"/>
  <c r="H20" i="12" s="1"/>
  <c r="J20" i="12"/>
  <c r="I16" i="12"/>
  <c r="J16" i="12"/>
  <c r="P48" i="12"/>
  <c r="N48" i="12"/>
  <c r="N44" i="12"/>
  <c r="O44" i="12" s="1"/>
  <c r="P44" i="12"/>
  <c r="N40" i="12"/>
  <c r="O40" i="12" s="1"/>
  <c r="Q40" i="12"/>
  <c r="P40" i="12"/>
  <c r="Q36" i="12"/>
  <c r="N36" i="12"/>
  <c r="N24" i="12"/>
  <c r="O24" i="12" s="1"/>
  <c r="Q24" i="12"/>
  <c r="P24" i="12"/>
  <c r="Q20" i="12"/>
  <c r="P20" i="12"/>
  <c r="P12" i="12"/>
  <c r="Q12" i="12"/>
  <c r="AC18" i="13"/>
  <c r="Z5" i="13"/>
  <c r="W4" i="5"/>
  <c r="V52" i="5"/>
  <c r="V53" i="5" s="1"/>
  <c r="V54" i="5" s="1"/>
  <c r="T33" i="3"/>
  <c r="J24" i="5"/>
  <c r="K24" i="5"/>
  <c r="N4" i="5"/>
  <c r="P4" i="5"/>
  <c r="Z4" i="5"/>
  <c r="Y52" i="5"/>
  <c r="Y54" i="5" s="1"/>
  <c r="AC4" i="5"/>
  <c r="AB52" i="5"/>
  <c r="AB53" i="5" s="1"/>
  <c r="AB54" i="5" s="1"/>
  <c r="AF4" i="5"/>
  <c r="AE52" i="5"/>
  <c r="T8" i="6"/>
  <c r="W20" i="6"/>
  <c r="T21" i="6"/>
  <c r="W4" i="7"/>
  <c r="V52" i="7"/>
  <c r="V53" i="7" s="1"/>
  <c r="V54" i="7" s="1"/>
  <c r="W5" i="7"/>
  <c r="W26" i="7"/>
  <c r="K27" i="7"/>
  <c r="I27" i="7"/>
  <c r="J27" i="7"/>
  <c r="J23" i="7"/>
  <c r="I23" i="7"/>
  <c r="K15" i="7"/>
  <c r="L15" i="7"/>
  <c r="G15" i="7"/>
  <c r="H15" i="7" s="1"/>
  <c r="J15" i="7"/>
  <c r="I11" i="7"/>
  <c r="J11" i="7"/>
  <c r="L11" i="7"/>
  <c r="G7" i="7"/>
  <c r="H7" i="7" s="1"/>
  <c r="I7" i="7"/>
  <c r="K7" i="7"/>
  <c r="Q39" i="7"/>
  <c r="N39" i="7"/>
  <c r="O39" i="7" s="1"/>
  <c r="P35" i="7"/>
  <c r="Q35" i="7"/>
  <c r="N35" i="7"/>
  <c r="O35" i="7" s="1"/>
  <c r="P27" i="7"/>
  <c r="Q27" i="7"/>
  <c r="P23" i="7"/>
  <c r="Q23" i="7"/>
  <c r="Q15" i="7"/>
  <c r="P15" i="7"/>
  <c r="Q11" i="7"/>
  <c r="P11" i="7"/>
  <c r="T35" i="7"/>
  <c r="W35" i="7"/>
  <c r="W27" i="7"/>
  <c r="Z35" i="7"/>
  <c r="Z27" i="7"/>
  <c r="Z6" i="3"/>
  <c r="P51" i="3"/>
  <c r="Q4" i="5"/>
  <c r="W33" i="5"/>
  <c r="AF41" i="5"/>
  <c r="O46" i="5"/>
  <c r="AC46" i="5"/>
  <c r="AF22" i="6"/>
  <c r="Z30" i="6"/>
  <c r="T30" i="6"/>
  <c r="T22" i="6"/>
  <c r="AC18" i="6"/>
  <c r="P39" i="7"/>
  <c r="P47" i="7"/>
  <c r="Q51" i="7"/>
  <c r="Z21" i="8"/>
  <c r="Z9" i="13"/>
  <c r="O4" i="3"/>
  <c r="AF4" i="3"/>
  <c r="AE52" i="3"/>
  <c r="AC16" i="3"/>
  <c r="P23" i="3"/>
  <c r="AC33" i="3"/>
  <c r="P38" i="3"/>
  <c r="Q46" i="3"/>
  <c r="T5" i="5"/>
  <c r="T10" i="5"/>
  <c r="AF10" i="5"/>
  <c r="AC17" i="5"/>
  <c r="AC33" i="5"/>
  <c r="T37" i="5"/>
  <c r="K16" i="5"/>
  <c r="J49" i="5"/>
  <c r="I49" i="5"/>
  <c r="I33" i="5"/>
  <c r="G33" i="5"/>
  <c r="H33" i="5" s="1"/>
  <c r="J29" i="5"/>
  <c r="G29" i="5"/>
  <c r="H29" i="5" s="1"/>
  <c r="G25" i="5"/>
  <c r="H25" i="5" s="1"/>
  <c r="K25" i="5"/>
  <c r="I25" i="5"/>
  <c r="I21" i="5"/>
  <c r="J21" i="5"/>
  <c r="I17" i="5"/>
  <c r="J17" i="5"/>
  <c r="G17" i="5"/>
  <c r="H17" i="5" s="1"/>
  <c r="K9" i="5"/>
  <c r="L9" i="5"/>
  <c r="I9" i="5"/>
  <c r="Q41" i="5"/>
  <c r="P41" i="5"/>
  <c r="P37" i="5"/>
  <c r="Q37" i="5"/>
  <c r="P33" i="5"/>
  <c r="Q33" i="5"/>
  <c r="Q29" i="5"/>
  <c r="P29" i="5"/>
  <c r="N29" i="5"/>
  <c r="O29" i="5" s="1"/>
  <c r="Q17" i="5"/>
  <c r="P17" i="5"/>
  <c r="N5" i="5"/>
  <c r="O5" i="5" s="1"/>
  <c r="P5" i="5"/>
  <c r="T41" i="5"/>
  <c r="T33" i="5"/>
  <c r="T17" i="5"/>
  <c r="T9" i="5"/>
  <c r="W49" i="5"/>
  <c r="W25" i="5"/>
  <c r="W17" i="5"/>
  <c r="W5" i="5"/>
  <c r="Z37" i="5"/>
  <c r="Z33" i="5"/>
  <c r="Z5" i="5"/>
  <c r="AC41" i="5"/>
  <c r="AC9" i="5"/>
  <c r="AC5" i="5"/>
  <c r="AF37" i="5"/>
  <c r="AF33" i="5"/>
  <c r="AF25" i="5"/>
  <c r="AF17" i="5"/>
  <c r="AF9" i="5"/>
  <c r="AC4" i="6"/>
  <c r="AB52" i="6"/>
  <c r="AB53" i="6" s="1"/>
  <c r="AB54" i="6" s="1"/>
  <c r="T10" i="6"/>
  <c r="N19" i="6"/>
  <c r="O19" i="6" s="1"/>
  <c r="AF21" i="6"/>
  <c r="AF6" i="7"/>
  <c r="T42" i="7"/>
  <c r="AC50" i="7"/>
  <c r="AF16" i="8"/>
  <c r="AC45" i="8"/>
  <c r="H4" i="3"/>
  <c r="T49" i="3"/>
  <c r="AF49" i="3"/>
  <c r="I47" i="3"/>
  <c r="J47" i="3"/>
  <c r="G43" i="3"/>
  <c r="H43" i="3" s="1"/>
  <c r="K43" i="3"/>
  <c r="G39" i="3"/>
  <c r="H39" i="3" s="1"/>
  <c r="K39" i="3"/>
  <c r="J27" i="3"/>
  <c r="K27" i="3"/>
  <c r="K23" i="3"/>
  <c r="I23" i="3"/>
  <c r="I19" i="3"/>
  <c r="J19" i="3"/>
  <c r="L15" i="3"/>
  <c r="I15" i="3"/>
  <c r="I7" i="3"/>
  <c r="L7" i="3"/>
  <c r="P39" i="3"/>
  <c r="Q39" i="3"/>
  <c r="P31" i="3"/>
  <c r="N31" i="3"/>
  <c r="O31" i="3" s="1"/>
  <c r="N11" i="3"/>
  <c r="O11" i="3" s="1"/>
  <c r="Q11" i="3"/>
  <c r="P44" i="5"/>
  <c r="N44" i="5"/>
  <c r="O44" i="5" s="1"/>
  <c r="Q40" i="5"/>
  <c r="P40" i="5"/>
  <c r="P8" i="5"/>
  <c r="N8" i="5"/>
  <c r="O8" i="5" s="1"/>
  <c r="T4" i="5"/>
  <c r="S52" i="5"/>
  <c r="T4" i="6"/>
  <c r="S52" i="6"/>
  <c r="AF4" i="6"/>
  <c r="AE52" i="6"/>
  <c r="AF8" i="6"/>
  <c r="J39" i="7"/>
  <c r="I39" i="7"/>
  <c r="I31" i="7"/>
  <c r="J31" i="7"/>
  <c r="J19" i="7"/>
  <c r="G19" i="7"/>
  <c r="H19" i="7" s="1"/>
  <c r="P31" i="7"/>
  <c r="Q31" i="7"/>
  <c r="T27" i="7"/>
  <c r="AC35" i="7"/>
  <c r="AC27" i="7"/>
  <c r="AF35" i="7"/>
  <c r="AF27" i="7"/>
  <c r="AC4" i="8"/>
  <c r="AB52" i="8"/>
  <c r="AB53" i="8" s="1"/>
  <c r="AB54" i="8" s="1"/>
  <c r="AF37" i="8"/>
  <c r="T15" i="8"/>
  <c r="T8" i="10"/>
  <c r="T6" i="3"/>
  <c r="O8" i="3"/>
  <c r="O12" i="3"/>
  <c r="W28" i="3"/>
  <c r="I51" i="3"/>
  <c r="K50" i="3"/>
  <c r="G50" i="3"/>
  <c r="G46" i="3"/>
  <c r="K46" i="3"/>
  <c r="J46" i="3"/>
  <c r="I42" i="3"/>
  <c r="J42" i="3"/>
  <c r="I38" i="3"/>
  <c r="J38" i="3"/>
  <c r="I34" i="3"/>
  <c r="G34" i="3"/>
  <c r="H34" i="3" s="1"/>
  <c r="J30" i="3"/>
  <c r="I30" i="3"/>
  <c r="G26" i="3"/>
  <c r="H26" i="3" s="1"/>
  <c r="K26" i="3"/>
  <c r="K22" i="3"/>
  <c r="G22" i="3"/>
  <c r="H22" i="3" s="1"/>
  <c r="I10" i="3"/>
  <c r="J10" i="3"/>
  <c r="J6" i="3"/>
  <c r="I6" i="3"/>
  <c r="Q50" i="3"/>
  <c r="P50" i="3"/>
  <c r="P34" i="3"/>
  <c r="N34" i="3"/>
  <c r="O34" i="3" s="1"/>
  <c r="N30" i="3"/>
  <c r="O30" i="3" s="1"/>
  <c r="Q30" i="3"/>
  <c r="P18" i="3"/>
  <c r="Q18" i="3"/>
  <c r="Q6" i="3"/>
  <c r="P6" i="3"/>
  <c r="N6" i="3"/>
  <c r="O6" i="3" s="1"/>
  <c r="W6" i="3"/>
  <c r="AC6" i="3"/>
  <c r="AF6" i="3"/>
  <c r="AF6" i="5"/>
  <c r="P32" i="5"/>
  <c r="O33" i="5"/>
  <c r="Z41" i="5"/>
  <c r="AF49" i="5"/>
  <c r="W8" i="6"/>
  <c r="T9" i="6"/>
  <c r="Z22" i="6"/>
  <c r="W24" i="6"/>
  <c r="T25" i="6"/>
  <c r="T49" i="6"/>
  <c r="K47" i="6"/>
  <c r="G47" i="6"/>
  <c r="H47" i="6" s="1"/>
  <c r="I23" i="6"/>
  <c r="J23" i="6"/>
  <c r="J15" i="6"/>
  <c r="L15" i="6"/>
  <c r="P51" i="6"/>
  <c r="Q51" i="6"/>
  <c r="P39" i="6"/>
  <c r="N39" i="6"/>
  <c r="O39" i="6" s="1"/>
  <c r="Q11" i="6"/>
  <c r="P11" i="6"/>
  <c r="Q7" i="6"/>
  <c r="P7" i="6"/>
  <c r="I19" i="7"/>
  <c r="Z25" i="8"/>
  <c r="AC28" i="8"/>
  <c r="I48" i="13"/>
  <c r="J48" i="13"/>
  <c r="I44" i="13"/>
  <c r="J44" i="13"/>
  <c r="G32" i="13"/>
  <c r="H32" i="13" s="1"/>
  <c r="I32" i="13"/>
  <c r="J28" i="13"/>
  <c r="G28" i="13"/>
  <c r="H28" i="13" s="1"/>
  <c r="K24" i="13"/>
  <c r="I24" i="13"/>
  <c r="K20" i="13"/>
  <c r="I20" i="13"/>
  <c r="I16" i="13"/>
  <c r="G16" i="13"/>
  <c r="H16" i="13" s="1"/>
  <c r="K8" i="13"/>
  <c r="L8" i="13"/>
  <c r="N4" i="13"/>
  <c r="Q4" i="13"/>
  <c r="P48" i="13"/>
  <c r="N48" i="13"/>
  <c r="O48" i="13" s="1"/>
  <c r="N44" i="13"/>
  <c r="O44" i="13" s="1"/>
  <c r="P44" i="13"/>
  <c r="N40" i="13"/>
  <c r="O40" i="13" s="1"/>
  <c r="P40" i="13"/>
  <c r="Q40" i="13"/>
  <c r="Q36" i="13"/>
  <c r="P36" i="13"/>
  <c r="N36" i="13"/>
  <c r="O36" i="13" s="1"/>
  <c r="P32" i="13"/>
  <c r="Q32" i="13"/>
  <c r="N32" i="13"/>
  <c r="O32" i="13" s="1"/>
  <c r="P28" i="13"/>
  <c r="N28" i="13"/>
  <c r="O28" i="13" s="1"/>
  <c r="Q28" i="13"/>
  <c r="N16" i="13"/>
  <c r="O16" i="13" s="1"/>
  <c r="P16" i="13"/>
  <c r="Q16" i="13"/>
  <c r="P12" i="13"/>
  <c r="N12" i="13"/>
  <c r="O12" i="13" s="1"/>
  <c r="Q12" i="13"/>
  <c r="P8" i="13"/>
  <c r="N8" i="13"/>
  <c r="O8" i="13" s="1"/>
  <c r="Q8" i="13"/>
  <c r="T4" i="13"/>
  <c r="S52" i="13"/>
  <c r="W4" i="13"/>
  <c r="V52" i="13"/>
  <c r="V53" i="13" s="1"/>
  <c r="V54" i="13" s="1"/>
  <c r="Z4" i="13"/>
  <c r="Y52" i="13"/>
  <c r="Y54" i="13" s="1"/>
  <c r="AC4" i="13"/>
  <c r="AB52" i="13"/>
  <c r="AB53" i="13" s="1"/>
  <c r="AB54" i="13" s="1"/>
  <c r="AF4" i="13"/>
  <c r="AE52" i="13"/>
  <c r="W4" i="14"/>
  <c r="V52" i="14"/>
  <c r="K10" i="6"/>
  <c r="I10" i="6"/>
  <c r="K6" i="6"/>
  <c r="G6" i="6"/>
  <c r="H6" i="6" s="1"/>
  <c r="P50" i="6"/>
  <c r="Q50" i="6"/>
  <c r="Q30" i="6"/>
  <c r="P30" i="6"/>
  <c r="T18" i="6"/>
  <c r="W10" i="6"/>
  <c r="Z6" i="6"/>
  <c r="AC30" i="6"/>
  <c r="AC22" i="6"/>
  <c r="AF18" i="6"/>
  <c r="AF6" i="6"/>
  <c r="Z4" i="7"/>
  <c r="Y52" i="7"/>
  <c r="Y54" i="7" s="1"/>
  <c r="T45" i="7"/>
  <c r="AC10" i="8"/>
  <c r="T46" i="9"/>
  <c r="I29" i="12"/>
  <c r="J29" i="12"/>
  <c r="J21" i="12"/>
  <c r="I21" i="12"/>
  <c r="L13" i="12"/>
  <c r="J13" i="12"/>
  <c r="I13" i="12"/>
  <c r="J5" i="12"/>
  <c r="L5" i="12"/>
  <c r="I5" i="12"/>
  <c r="P45" i="12"/>
  <c r="N45" i="12"/>
  <c r="O45" i="12" s="1"/>
  <c r="N37" i="12"/>
  <c r="O37" i="12" s="1"/>
  <c r="P37" i="12"/>
  <c r="Q37" i="12"/>
  <c r="P25" i="12"/>
  <c r="Q25" i="12"/>
  <c r="O17" i="12"/>
  <c r="T17" i="12"/>
  <c r="W17" i="12"/>
  <c r="Z17" i="12"/>
  <c r="AF17" i="12"/>
  <c r="K51" i="14"/>
  <c r="I51" i="14"/>
  <c r="K39" i="14"/>
  <c r="G39" i="14"/>
  <c r="H39" i="14" s="1"/>
  <c r="I35" i="14"/>
  <c r="K35" i="14"/>
  <c r="I31" i="14"/>
  <c r="K31" i="14"/>
  <c r="J27" i="14"/>
  <c r="G27" i="14"/>
  <c r="I23" i="14"/>
  <c r="K23" i="14"/>
  <c r="I19" i="14"/>
  <c r="G19" i="14"/>
  <c r="H19" i="14" s="1"/>
  <c r="K15" i="14"/>
  <c r="I15" i="14"/>
  <c r="AF34" i="14"/>
  <c r="T4" i="3"/>
  <c r="S52" i="3"/>
  <c r="H8" i="3"/>
  <c r="W8" i="3"/>
  <c r="T9" i="3"/>
  <c r="AF9" i="3"/>
  <c r="T12" i="3"/>
  <c r="T16" i="3"/>
  <c r="O25" i="3"/>
  <c r="AC25" i="3"/>
  <c r="Z28" i="3"/>
  <c r="T29" i="3"/>
  <c r="H33" i="3"/>
  <c r="K44" i="3"/>
  <c r="AC44" i="3"/>
  <c r="I48" i="3"/>
  <c r="O49" i="3"/>
  <c r="Z49" i="3"/>
  <c r="T6" i="5"/>
  <c r="H10" i="5"/>
  <c r="O10" i="5"/>
  <c r="Z10" i="5"/>
  <c r="T14" i="5"/>
  <c r="AF14" i="5"/>
  <c r="W16" i="5"/>
  <c r="AC21" i="5"/>
  <c r="AF22" i="5"/>
  <c r="H27" i="5"/>
  <c r="Z42" i="5"/>
  <c r="T46" i="5"/>
  <c r="AF46" i="5"/>
  <c r="K35" i="5"/>
  <c r="J35" i="5"/>
  <c r="J27" i="5"/>
  <c r="K27" i="5"/>
  <c r="P47" i="5"/>
  <c r="N47" i="5"/>
  <c r="O47" i="5" s="1"/>
  <c r="O39" i="5"/>
  <c r="P15" i="5"/>
  <c r="Q15" i="5"/>
  <c r="Q11" i="5"/>
  <c r="N11" i="5"/>
  <c r="O11" i="5" s="1"/>
  <c r="T43" i="5"/>
  <c r="T39" i="5"/>
  <c r="T27" i="5"/>
  <c r="T19" i="5"/>
  <c r="T15" i="5"/>
  <c r="T11" i="5"/>
  <c r="T7" i="5"/>
  <c r="W19" i="5"/>
  <c r="W15" i="5"/>
  <c r="W11" i="5"/>
  <c r="Z43" i="5"/>
  <c r="Z39" i="5"/>
  <c r="Z35" i="5"/>
  <c r="Z27" i="5"/>
  <c r="Z19" i="5"/>
  <c r="Z15" i="5"/>
  <c r="Z11" i="5"/>
  <c r="Z7" i="5"/>
  <c r="AC47" i="5"/>
  <c r="AC35" i="5"/>
  <c r="AC27" i="5"/>
  <c r="AC15" i="5"/>
  <c r="AC11" i="5"/>
  <c r="AC7" i="5"/>
  <c r="AF47" i="5"/>
  <c r="AF43" i="5"/>
  <c r="AF39" i="5"/>
  <c r="AF35" i="5"/>
  <c r="AF27" i="5"/>
  <c r="AF19" i="5"/>
  <c r="AF11" i="5"/>
  <c r="W4" i="6"/>
  <c r="V52" i="6"/>
  <c r="V53" i="6" s="1"/>
  <c r="V54" i="6" s="1"/>
  <c r="Q6" i="6"/>
  <c r="W9" i="6"/>
  <c r="G10" i="6"/>
  <c r="H10" i="6" s="1"/>
  <c r="AF12" i="6"/>
  <c r="O13" i="6"/>
  <c r="AC13" i="6"/>
  <c r="P14" i="6"/>
  <c r="W16" i="6"/>
  <c r="Z20" i="6"/>
  <c r="W21" i="6"/>
  <c r="Q22" i="6"/>
  <c r="Z24" i="6"/>
  <c r="Q26" i="6"/>
  <c r="N30" i="6"/>
  <c r="O30" i="6" s="1"/>
  <c r="O36" i="6"/>
  <c r="AF36" i="6"/>
  <c r="O40" i="6"/>
  <c r="AF40" i="6"/>
  <c r="AF41" i="6"/>
  <c r="Z44" i="6"/>
  <c r="H48" i="6"/>
  <c r="AC48" i="6"/>
  <c r="AC49" i="6"/>
  <c r="T45" i="6"/>
  <c r="T37" i="6"/>
  <c r="T13" i="6"/>
  <c r="W25" i="6"/>
  <c r="Z49" i="6"/>
  <c r="Z21" i="6"/>
  <c r="AC41" i="6"/>
  <c r="AC17" i="6"/>
  <c r="AC9" i="6"/>
  <c r="AF45" i="6"/>
  <c r="AF13" i="6"/>
  <c r="N4" i="7"/>
  <c r="AF4" i="7"/>
  <c r="AE52" i="7"/>
  <c r="O5" i="7"/>
  <c r="AC5" i="7"/>
  <c r="Z9" i="7"/>
  <c r="W9" i="7"/>
  <c r="T10" i="7"/>
  <c r="AF10" i="7"/>
  <c r="AF12" i="7"/>
  <c r="AF18" i="7"/>
  <c r="AC22" i="7"/>
  <c r="AC25" i="7"/>
  <c r="H26" i="7"/>
  <c r="AC26" i="7"/>
  <c r="N28" i="7"/>
  <c r="O28" i="7" s="1"/>
  <c r="Z30" i="7"/>
  <c r="Z33" i="7"/>
  <c r="H38" i="7"/>
  <c r="T38" i="7"/>
  <c r="Q40" i="7"/>
  <c r="AC41" i="7"/>
  <c r="H42" i="7"/>
  <c r="AC42" i="7"/>
  <c r="W33" i="7"/>
  <c r="W13" i="7"/>
  <c r="Z41" i="7"/>
  <c r="Z25" i="7"/>
  <c r="T4" i="8"/>
  <c r="S52" i="8"/>
  <c r="AF6" i="8"/>
  <c r="Z8" i="8"/>
  <c r="AF10" i="8"/>
  <c r="T11" i="8"/>
  <c r="W12" i="8"/>
  <c r="Z16" i="8"/>
  <c r="AC20" i="8"/>
  <c r="H21" i="8"/>
  <c r="T21" i="8"/>
  <c r="AF21" i="8"/>
  <c r="AF22" i="8"/>
  <c r="Z24" i="8"/>
  <c r="H25" i="8"/>
  <c r="T25" i="8"/>
  <c r="AF25" i="8"/>
  <c r="W28" i="8"/>
  <c r="W33" i="8"/>
  <c r="H45" i="8"/>
  <c r="W45" i="8"/>
  <c r="T46" i="8"/>
  <c r="J47" i="8"/>
  <c r="O49" i="8"/>
  <c r="Z49" i="8"/>
  <c r="G44" i="8"/>
  <c r="I44" i="8"/>
  <c r="H24" i="8"/>
  <c r="K8" i="8"/>
  <c r="L8" i="8"/>
  <c r="P44" i="8"/>
  <c r="Q44" i="8"/>
  <c r="N28" i="8"/>
  <c r="O28" i="8" s="1"/>
  <c r="P28" i="8"/>
  <c r="T28" i="8"/>
  <c r="T24" i="8"/>
  <c r="T20" i="8"/>
  <c r="T16" i="8"/>
  <c r="T12" i="8"/>
  <c r="T8" i="8"/>
  <c r="W24" i="8"/>
  <c r="W16" i="8"/>
  <c r="Z4" i="8"/>
  <c r="Y52" i="8"/>
  <c r="Y54" i="8" s="1"/>
  <c r="AC8" i="8"/>
  <c r="AF28" i="8"/>
  <c r="AF24" i="8"/>
  <c r="AF12" i="8"/>
  <c r="AF8" i="8"/>
  <c r="T4" i="9"/>
  <c r="S52" i="9"/>
  <c r="AF4" i="9"/>
  <c r="AE52" i="9"/>
  <c r="W6" i="9"/>
  <c r="T17" i="9"/>
  <c r="AF25" i="9"/>
  <c r="T49" i="9"/>
  <c r="AF50" i="9"/>
  <c r="J49" i="9"/>
  <c r="I49" i="9"/>
  <c r="K41" i="9"/>
  <c r="G41" i="9"/>
  <c r="H41" i="9" s="1"/>
  <c r="I41" i="9"/>
  <c r="K33" i="9"/>
  <c r="J33" i="9"/>
  <c r="G29" i="9"/>
  <c r="H29" i="9" s="1"/>
  <c r="K29" i="9"/>
  <c r="J29" i="9"/>
  <c r="I21" i="9"/>
  <c r="K21" i="9"/>
  <c r="G21" i="9"/>
  <c r="H21" i="9" s="1"/>
  <c r="N45" i="9"/>
  <c r="O45" i="9" s="1"/>
  <c r="P45" i="9"/>
  <c r="P37" i="9"/>
  <c r="Q37" i="9"/>
  <c r="N25" i="9"/>
  <c r="O25" i="9" s="1"/>
  <c r="P25" i="9"/>
  <c r="P17" i="9"/>
  <c r="N17" i="9"/>
  <c r="O17" i="9" s="1"/>
  <c r="T21" i="9"/>
  <c r="W49" i="9"/>
  <c r="W29" i="9"/>
  <c r="W25" i="9"/>
  <c r="W21" i="9"/>
  <c r="Z49" i="9"/>
  <c r="Z37" i="9"/>
  <c r="Z29" i="9"/>
  <c r="Z25" i="9"/>
  <c r="Z17" i="9"/>
  <c r="AC49" i="9"/>
  <c r="AC29" i="9"/>
  <c r="AC25" i="9"/>
  <c r="AC21" i="9"/>
  <c r="AC17" i="9"/>
  <c r="AF37" i="9"/>
  <c r="AF17" i="9"/>
  <c r="W4" i="10"/>
  <c r="V52" i="10"/>
  <c r="V53" i="10" s="1"/>
  <c r="V54" i="10" s="1"/>
  <c r="W34" i="10"/>
  <c r="P45" i="10"/>
  <c r="AC48" i="10"/>
  <c r="G50" i="10"/>
  <c r="H50" i="10" s="1"/>
  <c r="I50" i="10"/>
  <c r="J50" i="10"/>
  <c r="K46" i="10"/>
  <c r="I46" i="10"/>
  <c r="G46" i="10"/>
  <c r="H46" i="10" s="1"/>
  <c r="I34" i="10"/>
  <c r="J34" i="10"/>
  <c r="G18" i="10"/>
  <c r="H18" i="10" s="1"/>
  <c r="K18" i="10"/>
  <c r="L18" i="10"/>
  <c r="N42" i="10"/>
  <c r="O42" i="10" s="1"/>
  <c r="P42" i="10"/>
  <c r="P38" i="10"/>
  <c r="N38" i="10"/>
  <c r="O38" i="10" s="1"/>
  <c r="P34" i="10"/>
  <c r="Q34" i="10"/>
  <c r="Q26" i="10"/>
  <c r="P26" i="10"/>
  <c r="N26" i="10"/>
  <c r="O26" i="10" s="1"/>
  <c r="Q22" i="10"/>
  <c r="P22" i="10"/>
  <c r="Q14" i="10"/>
  <c r="P14" i="10"/>
  <c r="P6" i="10"/>
  <c r="N6" i="10"/>
  <c r="O6" i="10" s="1"/>
  <c r="T50" i="10"/>
  <c r="T38" i="12"/>
  <c r="T40" i="12"/>
  <c r="AF26" i="13"/>
  <c r="P31" i="14"/>
  <c r="AC45" i="6"/>
  <c r="O48" i="6"/>
  <c r="Z48" i="6"/>
  <c r="H49" i="6"/>
  <c r="W49" i="6"/>
  <c r="O50" i="6"/>
  <c r="J22" i="6"/>
  <c r="I22" i="6"/>
  <c r="O18" i="6"/>
  <c r="T6" i="6"/>
  <c r="W50" i="6"/>
  <c r="W30" i="6"/>
  <c r="W22" i="6"/>
  <c r="W18" i="6"/>
  <c r="Z50" i="6"/>
  <c r="Z18" i="6"/>
  <c r="AF50" i="6"/>
  <c r="AF30" i="6"/>
  <c r="W30" i="7"/>
  <c r="AF4" i="8"/>
  <c r="AE52" i="8"/>
  <c r="AF42" i="8"/>
  <c r="AF29" i="9"/>
  <c r="O49" i="9"/>
  <c r="T50" i="9"/>
  <c r="AC8" i="10"/>
  <c r="W19" i="10"/>
  <c r="AC51" i="12"/>
  <c r="J33" i="12"/>
  <c r="I33" i="12"/>
  <c r="I25" i="12"/>
  <c r="J25" i="12"/>
  <c r="L17" i="12"/>
  <c r="I17" i="12"/>
  <c r="L9" i="12"/>
  <c r="I9" i="12"/>
  <c r="J9" i="12"/>
  <c r="N49" i="12"/>
  <c r="O49" i="12" s="1"/>
  <c r="P49" i="12"/>
  <c r="P41" i="12"/>
  <c r="Q41" i="12"/>
  <c r="P33" i="12"/>
  <c r="N33" i="12"/>
  <c r="O33" i="12" s="1"/>
  <c r="P29" i="12"/>
  <c r="N29" i="12"/>
  <c r="O29" i="12" s="1"/>
  <c r="Q29" i="12"/>
  <c r="Q21" i="12"/>
  <c r="P21" i="12"/>
  <c r="AC17" i="12"/>
  <c r="G11" i="14"/>
  <c r="H11" i="14" s="1"/>
  <c r="L11" i="14"/>
  <c r="J7" i="14"/>
  <c r="I7" i="14"/>
  <c r="Q47" i="14"/>
  <c r="N47" i="14"/>
  <c r="O47" i="14" s="1"/>
  <c r="P27" i="14"/>
  <c r="Q27" i="14"/>
  <c r="N15" i="14"/>
  <c r="O15" i="14" s="1"/>
  <c r="P15" i="14"/>
  <c r="N11" i="14"/>
  <c r="O11" i="14" s="1"/>
  <c r="P11" i="14"/>
  <c r="AC4" i="3"/>
  <c r="AB52" i="3"/>
  <c r="AB53" i="3" s="1"/>
  <c r="AB54" i="3" s="1"/>
  <c r="W9" i="3"/>
  <c r="Z13" i="3"/>
  <c r="W29" i="3"/>
  <c r="Z33" i="3"/>
  <c r="T45" i="3"/>
  <c r="L4" i="3"/>
  <c r="J4" i="3"/>
  <c r="L20" i="3"/>
  <c r="J20" i="3"/>
  <c r="T28" i="3"/>
  <c r="T8" i="3"/>
  <c r="W4" i="3"/>
  <c r="V52" i="3"/>
  <c r="V53" i="3" s="1"/>
  <c r="V54" i="3" s="1"/>
  <c r="W44" i="3"/>
  <c r="W12" i="3"/>
  <c r="Z4" i="3"/>
  <c r="Y52" i="3"/>
  <c r="Y54" i="3" s="1"/>
  <c r="Z44" i="3"/>
  <c r="Z12" i="3"/>
  <c r="Z8" i="3"/>
  <c r="AC28" i="3"/>
  <c r="AC12" i="3"/>
  <c r="AC8" i="3"/>
  <c r="AF44" i="3"/>
  <c r="AF40" i="3"/>
  <c r="AF28" i="3"/>
  <c r="AF16" i="3"/>
  <c r="AF12" i="3"/>
  <c r="AF8" i="3"/>
  <c r="O6" i="5"/>
  <c r="Z6" i="5"/>
  <c r="P11" i="5"/>
  <c r="W14" i="5"/>
  <c r="AC19" i="5"/>
  <c r="W27" i="5"/>
  <c r="T34" i="5"/>
  <c r="Z38" i="5"/>
  <c r="Q39" i="5"/>
  <c r="O42" i="5"/>
  <c r="AC42" i="5"/>
  <c r="N43" i="5"/>
  <c r="O43" i="5" s="1"/>
  <c r="W46" i="5"/>
  <c r="G35" i="5"/>
  <c r="H35" i="5" s="1"/>
  <c r="O8" i="6"/>
  <c r="AC8" i="6"/>
  <c r="Z9" i="6"/>
  <c r="W12" i="6"/>
  <c r="Z16" i="6"/>
  <c r="AC20" i="6"/>
  <c r="AC21" i="6"/>
  <c r="AC25" i="6"/>
  <c r="W33" i="6"/>
  <c r="N34" i="6"/>
  <c r="O34" i="6" s="1"/>
  <c r="Z37" i="6"/>
  <c r="T41" i="6"/>
  <c r="O44" i="6"/>
  <c r="AC44" i="6"/>
  <c r="H45" i="6"/>
  <c r="W45" i="6"/>
  <c r="Q46" i="6"/>
  <c r="AF49" i="6"/>
  <c r="T4" i="7"/>
  <c r="S52" i="7"/>
  <c r="Z13" i="7"/>
  <c r="T22" i="7"/>
  <c r="AF22" i="7"/>
  <c r="AF26" i="7"/>
  <c r="H30" i="7"/>
  <c r="O30" i="7"/>
  <c r="AC30" i="7"/>
  <c r="Z38" i="7"/>
  <c r="AF42" i="7"/>
  <c r="O44" i="7"/>
  <c r="AC45" i="7"/>
  <c r="Q24" i="7"/>
  <c r="P24" i="7"/>
  <c r="P8" i="7"/>
  <c r="Q8" i="7"/>
  <c r="T44" i="7"/>
  <c r="T28" i="7"/>
  <c r="T12" i="7"/>
  <c r="W44" i="7"/>
  <c r="W24" i="7"/>
  <c r="W12" i="7"/>
  <c r="W8" i="7"/>
  <c r="Z44" i="7"/>
  <c r="Z24" i="7"/>
  <c r="Z12" i="7"/>
  <c r="Z8" i="7"/>
  <c r="AC4" i="7"/>
  <c r="AB52" i="7"/>
  <c r="AB53" i="7" s="1"/>
  <c r="AB54" i="7" s="1"/>
  <c r="AC44" i="7"/>
  <c r="AC36" i="7"/>
  <c r="AC12" i="7"/>
  <c r="AF24" i="7"/>
  <c r="AF8" i="7"/>
  <c r="W4" i="8"/>
  <c r="V52" i="8"/>
  <c r="V53" i="8" s="1"/>
  <c r="V54" i="8" s="1"/>
  <c r="AC9" i="8"/>
  <c r="Z12" i="8"/>
  <c r="T14" i="8"/>
  <c r="AF15" i="8"/>
  <c r="AC16" i="8"/>
  <c r="T18" i="8"/>
  <c r="AF20" i="8"/>
  <c r="W21" i="8"/>
  <c r="O22" i="8"/>
  <c r="AC24" i="8"/>
  <c r="W25" i="8"/>
  <c r="O26" i="8"/>
  <c r="Z28" i="8"/>
  <c r="O33" i="8"/>
  <c r="Z33" i="8"/>
  <c r="O37" i="8"/>
  <c r="AC37" i="8"/>
  <c r="K51" i="8"/>
  <c r="I51" i="8"/>
  <c r="J43" i="8"/>
  <c r="G43" i="8"/>
  <c r="H43" i="8" s="1"/>
  <c r="G39" i="8"/>
  <c r="H39" i="8" s="1"/>
  <c r="J39" i="8"/>
  <c r="I27" i="8"/>
  <c r="J27" i="8"/>
  <c r="L11" i="8"/>
  <c r="J11" i="8"/>
  <c r="J7" i="8"/>
  <c r="L7" i="8"/>
  <c r="N39" i="8"/>
  <c r="O39" i="8" s="1"/>
  <c r="P39" i="8"/>
  <c r="O15" i="8"/>
  <c r="O7" i="8"/>
  <c r="T7" i="8"/>
  <c r="W27" i="8"/>
  <c r="W19" i="8"/>
  <c r="W15" i="8"/>
  <c r="W11" i="8"/>
  <c r="W7" i="8"/>
  <c r="Z31" i="8"/>
  <c r="Z27" i="8"/>
  <c r="Z19" i="8"/>
  <c r="Z15" i="8"/>
  <c r="Z11" i="8"/>
  <c r="Z7" i="8"/>
  <c r="AC31" i="8"/>
  <c r="AC27" i="8"/>
  <c r="AC19" i="8"/>
  <c r="AC15" i="8"/>
  <c r="AC11" i="8"/>
  <c r="AC7" i="8"/>
  <c r="AF27" i="8"/>
  <c r="AF19" i="8"/>
  <c r="AF11" i="8"/>
  <c r="W4" i="9"/>
  <c r="V52" i="9"/>
  <c r="V53" i="9" s="1"/>
  <c r="V54" i="9" s="1"/>
  <c r="W17" i="9"/>
  <c r="AC18" i="9"/>
  <c r="Z21" i="9"/>
  <c r="W32" i="9"/>
  <c r="Z46" i="9"/>
  <c r="AF49" i="9"/>
  <c r="AC34" i="10"/>
  <c r="W50" i="10"/>
  <c r="K49" i="10"/>
  <c r="I49" i="10"/>
  <c r="G49" i="10"/>
  <c r="H49" i="10" s="1"/>
  <c r="I45" i="10"/>
  <c r="J45" i="10"/>
  <c r="K45" i="10"/>
  <c r="G45" i="10"/>
  <c r="H45" i="10" s="1"/>
  <c r="I29" i="10"/>
  <c r="J29" i="10"/>
  <c r="I13" i="10"/>
  <c r="J13" i="10"/>
  <c r="G13" i="10"/>
  <c r="H13" i="10" s="1"/>
  <c r="L9" i="10"/>
  <c r="J9" i="10"/>
  <c r="G9" i="10"/>
  <c r="H9" i="10" s="1"/>
  <c r="K5" i="10"/>
  <c r="G5" i="10"/>
  <c r="H5" i="10" s="1"/>
  <c r="J5" i="10"/>
  <c r="N41" i="10"/>
  <c r="O41" i="10" s="1"/>
  <c r="Q41" i="10"/>
  <c r="N37" i="10"/>
  <c r="O37" i="10" s="1"/>
  <c r="P37" i="10"/>
  <c r="Q37" i="10"/>
  <c r="N29" i="10"/>
  <c r="O29" i="10" s="1"/>
  <c r="P29" i="10"/>
  <c r="Q25" i="10"/>
  <c r="P25" i="10"/>
  <c r="N21" i="10"/>
  <c r="O21" i="10" s="1"/>
  <c r="P21" i="10"/>
  <c r="Q21" i="10"/>
  <c r="P13" i="10"/>
  <c r="Q13" i="10"/>
  <c r="P9" i="10"/>
  <c r="Q9" i="10"/>
  <c r="P5" i="10"/>
  <c r="Q5" i="10"/>
  <c r="T49" i="10"/>
  <c r="T45" i="10"/>
  <c r="W49" i="10"/>
  <c r="Z45" i="10"/>
  <c r="AC49" i="10"/>
  <c r="AC45" i="10"/>
  <c r="AF49" i="10"/>
  <c r="AC4" i="11"/>
  <c r="AB52" i="11"/>
  <c r="AB53" i="11" s="1"/>
  <c r="AB54" i="11" s="1"/>
  <c r="Z12" i="11"/>
  <c r="N21" i="12"/>
  <c r="O21" i="12" s="1"/>
  <c r="Q33" i="12"/>
  <c r="Q7" i="14"/>
  <c r="T9" i="14"/>
  <c r="L15" i="14"/>
  <c r="T37" i="8"/>
  <c r="O42" i="8"/>
  <c r="T45" i="8"/>
  <c r="AF45" i="8"/>
  <c r="T49" i="8"/>
  <c r="AF49" i="8"/>
  <c r="K46" i="8"/>
  <c r="J46" i="8"/>
  <c r="H22" i="8"/>
  <c r="T42" i="8"/>
  <c r="T30" i="8"/>
  <c r="T26" i="8"/>
  <c r="T22" i="8"/>
  <c r="T10" i="8"/>
  <c r="W50" i="8"/>
  <c r="W46" i="8"/>
  <c r="W30" i="8"/>
  <c r="W26" i="8"/>
  <c r="W18" i="8"/>
  <c r="W14" i="8"/>
  <c r="W10" i="8"/>
  <c r="W6" i="8"/>
  <c r="Z26" i="8"/>
  <c r="Z18" i="8"/>
  <c r="Z14" i="8"/>
  <c r="Z10" i="8"/>
  <c r="Z6" i="8"/>
  <c r="AC46" i="8"/>
  <c r="AC42" i="8"/>
  <c r="AC30" i="8"/>
  <c r="AC22" i="8"/>
  <c r="AC18" i="8"/>
  <c r="AC14" i="8"/>
  <c r="AC6" i="8"/>
  <c r="AF18" i="8"/>
  <c r="AF14" i="8"/>
  <c r="H4" i="9"/>
  <c r="O4" i="9"/>
  <c r="Z4" i="9"/>
  <c r="Y52" i="9"/>
  <c r="Y54" i="9" s="1"/>
  <c r="T11" i="9"/>
  <c r="AC20" i="9"/>
  <c r="Q22" i="9"/>
  <c r="T23" i="9"/>
  <c r="O24" i="9"/>
  <c r="AC24" i="9"/>
  <c r="I30" i="9"/>
  <c r="W31" i="9"/>
  <c r="AF32" i="9"/>
  <c r="K38" i="9"/>
  <c r="Z44" i="9"/>
  <c r="Z47" i="9"/>
  <c r="J39" i="9"/>
  <c r="G39" i="9"/>
  <c r="H39" i="9" s="1"/>
  <c r="K31" i="9"/>
  <c r="I31" i="9"/>
  <c r="I23" i="9"/>
  <c r="K23" i="9"/>
  <c r="J11" i="9"/>
  <c r="L11" i="9"/>
  <c r="O47" i="9"/>
  <c r="Q35" i="9"/>
  <c r="P35" i="9"/>
  <c r="T47" i="9"/>
  <c r="T31" i="9"/>
  <c r="T27" i="9"/>
  <c r="W47" i="9"/>
  <c r="W35" i="9"/>
  <c r="W27" i="9"/>
  <c r="W23" i="9"/>
  <c r="W19" i="9"/>
  <c r="Z27" i="9"/>
  <c r="AC47" i="9"/>
  <c r="AC31" i="9"/>
  <c r="AC27" i="9"/>
  <c r="AC23" i="9"/>
  <c r="AC19" i="9"/>
  <c r="AF47" i="9"/>
  <c r="AF39" i="9"/>
  <c r="AF35" i="9"/>
  <c r="AF31" i="9"/>
  <c r="AF27" i="9"/>
  <c r="AF23" i="9"/>
  <c r="AF15" i="9"/>
  <c r="AF11" i="9"/>
  <c r="AC4" i="10"/>
  <c r="AB52" i="10"/>
  <c r="AB53" i="10" s="1"/>
  <c r="AB54" i="10" s="1"/>
  <c r="T6" i="10"/>
  <c r="K7" i="10"/>
  <c r="O8" i="10"/>
  <c r="Z11" i="10"/>
  <c r="P31" i="10"/>
  <c r="Z40" i="10"/>
  <c r="W40" i="10"/>
  <c r="Z50" i="10"/>
  <c r="O4" i="11"/>
  <c r="H12" i="11"/>
  <c r="Z15" i="11"/>
  <c r="W29" i="11"/>
  <c r="T38" i="11"/>
  <c r="T41" i="11"/>
  <c r="AC7" i="12"/>
  <c r="T24" i="12"/>
  <c r="Z13" i="13"/>
  <c r="O22" i="13"/>
  <c r="Z22" i="13"/>
  <c r="AF37" i="13"/>
  <c r="Z38" i="13"/>
  <c r="W33" i="14"/>
  <c r="T8" i="9"/>
  <c r="T12" i="9"/>
  <c r="AC28" i="9"/>
  <c r="AF30" i="9"/>
  <c r="Z31" i="9"/>
  <c r="Z38" i="9"/>
  <c r="O44" i="9"/>
  <c r="W46" i="9"/>
  <c r="W48" i="9"/>
  <c r="Z50" i="9"/>
  <c r="P50" i="9"/>
  <c r="N50" i="9"/>
  <c r="O50" i="9" s="1"/>
  <c r="O38" i="9"/>
  <c r="Q26" i="9"/>
  <c r="P26" i="9"/>
  <c r="P18" i="9"/>
  <c r="Q18" i="9"/>
  <c r="N14" i="9"/>
  <c r="O14" i="9" s="1"/>
  <c r="P14" i="9"/>
  <c r="Q10" i="9"/>
  <c r="N10" i="9"/>
  <c r="O10" i="9" s="1"/>
  <c r="O6" i="9"/>
  <c r="T38" i="9"/>
  <c r="T30" i="9"/>
  <c r="W50" i="9"/>
  <c r="W30" i="9"/>
  <c r="W18" i="9"/>
  <c r="W14" i="9"/>
  <c r="AC50" i="9"/>
  <c r="AC46" i="9"/>
  <c r="AC38" i="9"/>
  <c r="AC30" i="9"/>
  <c r="AC10" i="9"/>
  <c r="AC6" i="9"/>
  <c r="AF46" i="9"/>
  <c r="AF22" i="9"/>
  <c r="T4" i="10"/>
  <c r="S52" i="10"/>
  <c r="AF4" i="10"/>
  <c r="AE52" i="10"/>
  <c r="W6" i="10"/>
  <c r="Z7" i="10"/>
  <c r="W18" i="10"/>
  <c r="AF19" i="10"/>
  <c r="T28" i="10"/>
  <c r="K47" i="10"/>
  <c r="I47" i="10"/>
  <c r="I27" i="10"/>
  <c r="J27" i="10"/>
  <c r="O23" i="10"/>
  <c r="O11" i="10"/>
  <c r="O7" i="10"/>
  <c r="T51" i="10"/>
  <c r="T39" i="10"/>
  <c r="T23" i="10"/>
  <c r="T19" i="10"/>
  <c r="T11" i="10"/>
  <c r="T7" i="10"/>
  <c r="W51" i="10"/>
  <c r="W23" i="10"/>
  <c r="W15" i="10"/>
  <c r="W11" i="10"/>
  <c r="W7" i="10"/>
  <c r="Z39" i="10"/>
  <c r="Z23" i="10"/>
  <c r="Z19" i="10"/>
  <c r="Z15" i="10"/>
  <c r="AC51" i="10"/>
  <c r="AC39" i="10"/>
  <c r="AC27" i="10"/>
  <c r="AF28" i="11"/>
  <c r="AC27" i="12"/>
  <c r="O14" i="13"/>
  <c r="AC38" i="13"/>
  <c r="O9" i="14"/>
  <c r="AC23" i="10"/>
  <c r="AC19" i="10"/>
  <c r="AC15" i="10"/>
  <c r="AC11" i="10"/>
  <c r="AC7" i="10"/>
  <c r="AF51" i="10"/>
  <c r="AF39" i="10"/>
  <c r="AF23" i="10"/>
  <c r="AF15" i="10"/>
  <c r="AF11" i="10"/>
  <c r="AF7" i="10"/>
  <c r="AC5" i="11"/>
  <c r="Z16" i="11"/>
  <c r="Z33" i="11"/>
  <c r="O34" i="11"/>
  <c r="AC43" i="11"/>
  <c r="AC51" i="11"/>
  <c r="J45" i="11"/>
  <c r="I45" i="11"/>
  <c r="G33" i="11"/>
  <c r="H33" i="11" s="1"/>
  <c r="J33" i="11"/>
  <c r="J29" i="11"/>
  <c r="G29" i="11"/>
  <c r="H29" i="11" s="1"/>
  <c r="K25" i="11"/>
  <c r="I25" i="11"/>
  <c r="P49" i="11"/>
  <c r="N49" i="11"/>
  <c r="O49" i="11" s="1"/>
  <c r="N41" i="11"/>
  <c r="O41" i="11" s="1"/>
  <c r="Q41" i="11"/>
  <c r="N17" i="11"/>
  <c r="O17" i="11" s="1"/>
  <c r="Q17" i="11"/>
  <c r="W45" i="11"/>
  <c r="W33" i="11"/>
  <c r="W9" i="11"/>
  <c r="W5" i="11"/>
  <c r="Z29" i="11"/>
  <c r="Z5" i="11"/>
  <c r="AC9" i="11"/>
  <c r="AF33" i="11"/>
  <c r="AF29" i="11"/>
  <c r="W4" i="12"/>
  <c r="V52" i="12"/>
  <c r="V53" i="12" s="1"/>
  <c r="V54" i="12" s="1"/>
  <c r="W6" i="12"/>
  <c r="W8" i="12"/>
  <c r="H14" i="12"/>
  <c r="O15" i="12"/>
  <c r="AC19" i="12"/>
  <c r="AC26" i="12"/>
  <c r="Z34" i="12"/>
  <c r="AC38" i="12"/>
  <c r="O43" i="12"/>
  <c r="AF9" i="13"/>
  <c r="W17" i="13"/>
  <c r="J51" i="13"/>
  <c r="I51" i="13"/>
  <c r="J35" i="13"/>
  <c r="G35" i="13"/>
  <c r="H35" i="13" s="1"/>
  <c r="G27" i="13"/>
  <c r="H27" i="13" s="1"/>
  <c r="K27" i="13"/>
  <c r="K23" i="13"/>
  <c r="G23" i="13"/>
  <c r="H23" i="13" s="1"/>
  <c r="G19" i="13"/>
  <c r="H19" i="13" s="1"/>
  <c r="I19" i="13"/>
  <c r="I15" i="13"/>
  <c r="K15" i="13"/>
  <c r="L15" i="13"/>
  <c r="J15" i="13"/>
  <c r="K11" i="13"/>
  <c r="G11" i="13"/>
  <c r="H11" i="13" s="1"/>
  <c r="L7" i="13"/>
  <c r="G7" i="13"/>
  <c r="H7" i="13" s="1"/>
  <c r="O43" i="13"/>
  <c r="Q7" i="13"/>
  <c r="P7" i="13"/>
  <c r="T47" i="13"/>
  <c r="W47" i="13"/>
  <c r="Z47" i="13"/>
  <c r="Z43" i="13"/>
  <c r="O21" i="14"/>
  <c r="AC21" i="14"/>
  <c r="T26" i="14"/>
  <c r="T29" i="14"/>
  <c r="AF29" i="14"/>
  <c r="AC34" i="14"/>
  <c r="K50" i="14"/>
  <c r="I50" i="14"/>
  <c r="J34" i="14"/>
  <c r="G34" i="14"/>
  <c r="H34" i="14" s="1"/>
  <c r="I30" i="14"/>
  <c r="G30" i="14"/>
  <c r="H30" i="14" s="1"/>
  <c r="J30" i="14"/>
  <c r="G18" i="14"/>
  <c r="J18" i="14"/>
  <c r="L18" i="14"/>
  <c r="K18" i="14"/>
  <c r="K14" i="14"/>
  <c r="I14" i="14"/>
  <c r="K10" i="14"/>
  <c r="I10" i="14"/>
  <c r="G10" i="14"/>
  <c r="L6" i="14"/>
  <c r="I6" i="14"/>
  <c r="K6" i="14"/>
  <c r="P42" i="14"/>
  <c r="N42" i="14"/>
  <c r="O42" i="14" s="1"/>
  <c r="Q34" i="14"/>
  <c r="P34" i="14"/>
  <c r="Q30" i="14"/>
  <c r="N30" i="14"/>
  <c r="O30" i="14" s="1"/>
  <c r="P30" i="14"/>
  <c r="T34" i="10"/>
  <c r="T18" i="10"/>
  <c r="Z34" i="10"/>
  <c r="AC50" i="10"/>
  <c r="AC18" i="10"/>
  <c r="AC6" i="10"/>
  <c r="AF50" i="10"/>
  <c r="AF42" i="10"/>
  <c r="AF34" i="10"/>
  <c r="AF18" i="10"/>
  <c r="AF6" i="10"/>
  <c r="H4" i="11"/>
  <c r="W4" i="11"/>
  <c r="V52" i="11"/>
  <c r="V53" i="11" s="1"/>
  <c r="V54" i="11" s="1"/>
  <c r="O5" i="11"/>
  <c r="AF5" i="11"/>
  <c r="AF9" i="11"/>
  <c r="T12" i="11"/>
  <c r="W14" i="11"/>
  <c r="W18" i="11"/>
  <c r="K21" i="11"/>
  <c r="J25" i="11"/>
  <c r="Z28" i="11"/>
  <c r="K29" i="11"/>
  <c r="W30" i="11"/>
  <c r="W34" i="11"/>
  <c r="T36" i="11"/>
  <c r="O38" i="11"/>
  <c r="AF40" i="11"/>
  <c r="AC41" i="11"/>
  <c r="N45" i="11"/>
  <c r="O45" i="11" s="1"/>
  <c r="Q49" i="11"/>
  <c r="K4" i="11"/>
  <c r="L4" i="11"/>
  <c r="K48" i="11"/>
  <c r="G48" i="11"/>
  <c r="H48" i="11" s="1"/>
  <c r="G44" i="11"/>
  <c r="H44" i="11" s="1"/>
  <c r="J44" i="11"/>
  <c r="G40" i="11"/>
  <c r="H40" i="11" s="1"/>
  <c r="K40" i="11"/>
  <c r="G36" i="11"/>
  <c r="H36" i="11" s="1"/>
  <c r="J36" i="11"/>
  <c r="J32" i="11"/>
  <c r="I32" i="11"/>
  <c r="J28" i="11"/>
  <c r="K28" i="11"/>
  <c r="I24" i="11"/>
  <c r="J24" i="11"/>
  <c r="L16" i="11"/>
  <c r="J16" i="11"/>
  <c r="I16" i="11"/>
  <c r="K12" i="11"/>
  <c r="J12" i="11"/>
  <c r="G8" i="11"/>
  <c r="H8" i="11" s="1"/>
  <c r="L8" i="11"/>
  <c r="P44" i="11"/>
  <c r="N44" i="11"/>
  <c r="O44" i="11" s="1"/>
  <c r="O32" i="11"/>
  <c r="O28" i="11"/>
  <c r="O24" i="11"/>
  <c r="O20" i="11"/>
  <c r="P8" i="11"/>
  <c r="N8" i="11"/>
  <c r="O8" i="11" s="1"/>
  <c r="T4" i="11"/>
  <c r="S52" i="11"/>
  <c r="T40" i="11"/>
  <c r="W44" i="11"/>
  <c r="W32" i="11"/>
  <c r="W28" i="11"/>
  <c r="W24" i="11"/>
  <c r="W20" i="11"/>
  <c r="W12" i="11"/>
  <c r="Z4" i="11"/>
  <c r="Y52" i="11"/>
  <c r="Y54" i="11" s="1"/>
  <c r="Z40" i="11"/>
  <c r="Z32" i="11"/>
  <c r="AC40" i="11"/>
  <c r="AC36" i="11"/>
  <c r="AC16" i="11"/>
  <c r="AC12" i="11"/>
  <c r="AF4" i="11"/>
  <c r="AE52" i="11"/>
  <c r="AF24" i="11"/>
  <c r="AF12" i="11"/>
  <c r="Y52" i="12"/>
  <c r="Y54" i="12" s="1"/>
  <c r="AF5" i="12"/>
  <c r="Z10" i="12"/>
  <c r="H18" i="12"/>
  <c r="T18" i="12"/>
  <c r="AF26" i="12"/>
  <c r="T27" i="12"/>
  <c r="AC10" i="13"/>
  <c r="N15" i="13"/>
  <c r="AF17" i="13"/>
  <c r="N31" i="13"/>
  <c r="O31" i="13" s="1"/>
  <c r="I35" i="13"/>
  <c r="AF42" i="13"/>
  <c r="AF21" i="14"/>
  <c r="AC26" i="14"/>
  <c r="W29" i="14"/>
  <c r="P26" i="14"/>
  <c r="N26" i="14"/>
  <c r="O26" i="14" s="1"/>
  <c r="N22" i="14"/>
  <c r="O22" i="14" s="1"/>
  <c r="Q22" i="14"/>
  <c r="P22" i="14"/>
  <c r="Q18" i="14"/>
  <c r="P18" i="14"/>
  <c r="T34" i="14"/>
  <c r="W34" i="14"/>
  <c r="W30" i="14"/>
  <c r="W26" i="14"/>
  <c r="Z34" i="14"/>
  <c r="Z26" i="14"/>
  <c r="AC19" i="14"/>
  <c r="AF19" i="14"/>
  <c r="AC5" i="3"/>
  <c r="W13" i="3"/>
  <c r="T17" i="3"/>
  <c r="AF17" i="3"/>
  <c r="O21" i="3"/>
  <c r="Z21" i="3"/>
  <c r="H25" i="3"/>
  <c r="W25" i="3"/>
  <c r="O29" i="3"/>
  <c r="Z29" i="3"/>
  <c r="AF33" i="3"/>
  <c r="T41" i="3"/>
  <c r="H45" i="3"/>
  <c r="O45" i="3"/>
  <c r="Z45" i="3"/>
  <c r="W49" i="3"/>
  <c r="AC6" i="5"/>
  <c r="AC10" i="5"/>
  <c r="H14" i="5"/>
  <c r="O14" i="5"/>
  <c r="Z14" i="5"/>
  <c r="AC18" i="5"/>
  <c r="O34" i="5"/>
  <c r="Z34" i="5"/>
  <c r="O38" i="5"/>
  <c r="AC38" i="5"/>
  <c r="H42" i="5"/>
  <c r="AF42" i="5"/>
  <c r="Z46" i="5"/>
  <c r="W50" i="5"/>
  <c r="W34" i="5"/>
  <c r="W30" i="5"/>
  <c r="W22" i="5"/>
  <c r="W18" i="5"/>
  <c r="W6" i="5"/>
  <c r="Z4" i="6"/>
  <c r="Y52" i="6"/>
  <c r="Y54" i="6" s="1"/>
  <c r="Z8" i="6"/>
  <c r="AC12" i="6"/>
  <c r="AF16" i="6"/>
  <c r="AF20" i="6"/>
  <c r="AC24" i="6"/>
  <c r="O28" i="6"/>
  <c r="AC28" i="6"/>
  <c r="O32" i="6"/>
  <c r="AC32" i="6"/>
  <c r="Z36" i="6"/>
  <c r="H40" i="6"/>
  <c r="Z40" i="6"/>
  <c r="AF44" i="6"/>
  <c r="AF48" i="6"/>
  <c r="T48" i="6"/>
  <c r="T44" i="6"/>
  <c r="T40" i="6"/>
  <c r="T36" i="6"/>
  <c r="T32" i="6"/>
  <c r="T28" i="6"/>
  <c r="T24" i="6"/>
  <c r="T20" i="6"/>
  <c r="T16" i="6"/>
  <c r="T12" i="6"/>
  <c r="AF14" i="7"/>
  <c r="Z22" i="7"/>
  <c r="Z26" i="7"/>
  <c r="AF30" i="7"/>
  <c r="O34" i="7"/>
  <c r="Z34" i="7"/>
  <c r="AF38" i="7"/>
  <c r="Z42" i="7"/>
  <c r="T46" i="7"/>
  <c r="AC46" i="7"/>
  <c r="W50" i="7"/>
  <c r="T30" i="7"/>
  <c r="T26" i="7"/>
  <c r="T18" i="7"/>
  <c r="T14" i="7"/>
  <c r="T6" i="7"/>
  <c r="H4" i="8"/>
  <c r="AC5" i="8"/>
  <c r="O9" i="8"/>
  <c r="Z9" i="8"/>
  <c r="AC13" i="8"/>
  <c r="AC17" i="8"/>
  <c r="O21" i="8"/>
  <c r="AC21" i="8"/>
  <c r="O25" i="8"/>
  <c r="AC25" i="8"/>
  <c r="T33" i="8"/>
  <c r="AF33" i="8"/>
  <c r="T41" i="8"/>
  <c r="AF41" i="8"/>
  <c r="Z45" i="8"/>
  <c r="AC49" i="8"/>
  <c r="AC4" i="9"/>
  <c r="AB52" i="9"/>
  <c r="AB53" i="9" s="1"/>
  <c r="AB54" i="9" s="1"/>
  <c r="AC12" i="9"/>
  <c r="W16" i="9"/>
  <c r="AF20" i="9"/>
  <c r="AF24" i="9"/>
  <c r="W28" i="9"/>
  <c r="T32" i="9"/>
  <c r="O40" i="9"/>
  <c r="T44" i="9"/>
  <c r="H8" i="9"/>
  <c r="T40" i="9"/>
  <c r="T28" i="9"/>
  <c r="T24" i="9"/>
  <c r="T20" i="9"/>
  <c r="T16" i="9"/>
  <c r="Z32" i="9"/>
  <c r="Z28" i="9"/>
  <c r="Z24" i="9"/>
  <c r="Z20" i="9"/>
  <c r="Z12" i="9"/>
  <c r="Z8" i="9"/>
  <c r="AF48" i="9"/>
  <c r="AF36" i="9"/>
  <c r="AF28" i="9"/>
  <c r="AF16" i="9"/>
  <c r="AF12" i="9"/>
  <c r="AF8" i="9"/>
  <c r="O4" i="10"/>
  <c r="Z4" i="10"/>
  <c r="Y52" i="10"/>
  <c r="Y54" i="10" s="1"/>
  <c r="T12" i="10"/>
  <c r="T24" i="10"/>
  <c r="AC11" i="11"/>
  <c r="AC14" i="11"/>
  <c r="W15" i="11"/>
  <c r="AC18" i="11"/>
  <c r="AC21" i="11"/>
  <c r="AC22" i="11"/>
  <c r="W22" i="11"/>
  <c r="H23" i="11"/>
  <c r="W26" i="11"/>
  <c r="H30" i="11"/>
  <c r="H38" i="11"/>
  <c r="AC39" i="11"/>
  <c r="T42" i="11"/>
  <c r="H49" i="11"/>
  <c r="K38" i="11"/>
  <c r="J38" i="11"/>
  <c r="I30" i="11"/>
  <c r="K30" i="11"/>
  <c r="I22" i="11"/>
  <c r="J22" i="11"/>
  <c r="J18" i="11"/>
  <c r="L18" i="11"/>
  <c r="G14" i="11"/>
  <c r="H14" i="11" s="1"/>
  <c r="J14" i="11"/>
  <c r="O42" i="11"/>
  <c r="O26" i="11"/>
  <c r="Z38" i="11"/>
  <c r="Z34" i="11"/>
  <c r="Z30" i="11"/>
  <c r="Z26" i="11"/>
  <c r="Z14" i="11"/>
  <c r="AC50" i="11"/>
  <c r="AC42" i="11"/>
  <c r="AC38" i="11"/>
  <c r="AF42" i="11"/>
  <c r="AF38" i="11"/>
  <c r="AF34" i="11"/>
  <c r="AF30" i="11"/>
  <c r="AF26" i="11"/>
  <c r="AF22" i="11"/>
  <c r="AF14" i="11"/>
  <c r="S52" i="12"/>
  <c r="AE52" i="12"/>
  <c r="Z6" i="12"/>
  <c r="W7" i="12"/>
  <c r="AC8" i="12"/>
  <c r="AF10" i="12"/>
  <c r="Z14" i="12"/>
  <c r="AF18" i="12"/>
  <c r="W19" i="12"/>
  <c r="O38" i="12"/>
  <c r="AF50" i="12"/>
  <c r="Z51" i="12"/>
  <c r="G38" i="12"/>
  <c r="H38" i="12" s="1"/>
  <c r="I38" i="12"/>
  <c r="L18" i="12"/>
  <c r="J18" i="12"/>
  <c r="L14" i="12"/>
  <c r="J14" i="12"/>
  <c r="H10" i="12"/>
  <c r="H6" i="12"/>
  <c r="Q46" i="12"/>
  <c r="P46" i="12"/>
  <c r="P10" i="12"/>
  <c r="Q10" i="12"/>
  <c r="P6" i="12"/>
  <c r="N6" i="12"/>
  <c r="O6" i="12" s="1"/>
  <c r="T26" i="12"/>
  <c r="T14" i="12"/>
  <c r="T10" i="12"/>
  <c r="T6" i="12"/>
  <c r="W50" i="12"/>
  <c r="W34" i="12"/>
  <c r="W26" i="12"/>
  <c r="W18" i="12"/>
  <c r="W14" i="12"/>
  <c r="W10" i="12"/>
  <c r="Z38" i="12"/>
  <c r="Z26" i="12"/>
  <c r="AC50" i="12"/>
  <c r="AC34" i="12"/>
  <c r="AC18" i="12"/>
  <c r="AC14" i="12"/>
  <c r="AF38" i="12"/>
  <c r="AF6" i="12"/>
  <c r="T9" i="13"/>
  <c r="W13" i="13"/>
  <c r="Z14" i="13"/>
  <c r="T17" i="13"/>
  <c r="AC22" i="13"/>
  <c r="AC26" i="13"/>
  <c r="O29" i="13"/>
  <c r="AF29" i="13"/>
  <c r="AF34" i="13"/>
  <c r="Z37" i="13"/>
  <c r="AF43" i="13"/>
  <c r="Z45" i="13"/>
  <c r="J33" i="13"/>
  <c r="I33" i="13"/>
  <c r="K29" i="13"/>
  <c r="J29" i="13"/>
  <c r="G9" i="13"/>
  <c r="H9" i="13" s="1"/>
  <c r="J9" i="13"/>
  <c r="I5" i="13"/>
  <c r="L5" i="13"/>
  <c r="N45" i="13"/>
  <c r="O45" i="13" s="1"/>
  <c r="P45" i="13"/>
  <c r="Q21" i="13"/>
  <c r="N21" i="13"/>
  <c r="O21" i="13" s="1"/>
  <c r="O9" i="13"/>
  <c r="T37" i="13"/>
  <c r="T13" i="13"/>
  <c r="W29" i="13"/>
  <c r="W9" i="13"/>
  <c r="Z29" i="13"/>
  <c r="Z17" i="13"/>
  <c r="AC45" i="13"/>
  <c r="AC37" i="13"/>
  <c r="AC17" i="13"/>
  <c r="AC13" i="13"/>
  <c r="AC9" i="13"/>
  <c r="AC5" i="13"/>
  <c r="AF13" i="13"/>
  <c r="T4" i="14"/>
  <c r="S52" i="14"/>
  <c r="AF4" i="14"/>
  <c r="AE52" i="14"/>
  <c r="Z9" i="14"/>
  <c r="AF33" i="14"/>
  <c r="Z44" i="14"/>
  <c r="O12" i="10"/>
  <c r="AC12" i="10"/>
  <c r="W16" i="10"/>
  <c r="T20" i="10"/>
  <c r="AC24" i="10"/>
  <c r="O36" i="10"/>
  <c r="AC36" i="10"/>
  <c r="AF40" i="10"/>
  <c r="W48" i="10"/>
  <c r="H36" i="10"/>
  <c r="W32" i="10"/>
  <c r="W28" i="10"/>
  <c r="W20" i="10"/>
  <c r="W8" i="10"/>
  <c r="Z48" i="10"/>
  <c r="Z32" i="10"/>
  <c r="Z28" i="10"/>
  <c r="Z12" i="10"/>
  <c r="Z8" i="10"/>
  <c r="AF28" i="10"/>
  <c r="AF24" i="10"/>
  <c r="AF16" i="10"/>
  <c r="AF12" i="10"/>
  <c r="AF8" i="10"/>
  <c r="Z7" i="11"/>
  <c r="AF11" i="11"/>
  <c r="W23" i="11"/>
  <c r="AC25" i="11"/>
  <c r="Z39" i="11"/>
  <c r="H39" i="11"/>
  <c r="O43" i="11"/>
  <c r="O39" i="11"/>
  <c r="T43" i="11"/>
  <c r="T39" i="11"/>
  <c r="W35" i="11"/>
  <c r="W31" i="11"/>
  <c r="W27" i="11"/>
  <c r="W19" i="11"/>
  <c r="Z43" i="11"/>
  <c r="Z35" i="11"/>
  <c r="Z31" i="11"/>
  <c r="Z27" i="11"/>
  <c r="Z23" i="11"/>
  <c r="Z19" i="11"/>
  <c r="Z11" i="11"/>
  <c r="AC7" i="11"/>
  <c r="AF51" i="11"/>
  <c r="AF43" i="11"/>
  <c r="AF39" i="11"/>
  <c r="AF35" i="11"/>
  <c r="AF31" i="11"/>
  <c r="AF27" i="11"/>
  <c r="AF23" i="11"/>
  <c r="AC4" i="12"/>
  <c r="AB52" i="12"/>
  <c r="AB53" i="12" s="1"/>
  <c r="AB54" i="12" s="1"/>
  <c r="Z7" i="12"/>
  <c r="W16" i="12"/>
  <c r="W20" i="12"/>
  <c r="AC23" i="12"/>
  <c r="O31" i="12"/>
  <c r="T51" i="12"/>
  <c r="J43" i="12"/>
  <c r="I43" i="12"/>
  <c r="P51" i="12"/>
  <c r="Q51" i="12"/>
  <c r="P47" i="12"/>
  <c r="N47" i="12"/>
  <c r="O47" i="12" s="1"/>
  <c r="O11" i="12"/>
  <c r="T47" i="12"/>
  <c r="T43" i="12"/>
  <c r="T39" i="12"/>
  <c r="T31" i="12"/>
  <c r="T23" i="12"/>
  <c r="T19" i="12"/>
  <c r="T15" i="12"/>
  <c r="T11" i="12"/>
  <c r="T7" i="12"/>
  <c r="W51" i="12"/>
  <c r="W47" i="12"/>
  <c r="W31" i="12"/>
  <c r="W27" i="12"/>
  <c r="W23" i="12"/>
  <c r="W15" i="12"/>
  <c r="W11" i="12"/>
  <c r="Z47" i="12"/>
  <c r="Z43" i="12"/>
  <c r="Z39" i="12"/>
  <c r="Z31" i="12"/>
  <c r="Z27" i="12"/>
  <c r="Z19" i="12"/>
  <c r="Z15" i="12"/>
  <c r="Z11" i="12"/>
  <c r="AC47" i="12"/>
  <c r="AC31" i="12"/>
  <c r="AC15" i="12"/>
  <c r="AF51" i="12"/>
  <c r="AF47" i="12"/>
  <c r="AF43" i="12"/>
  <c r="AF39" i="12"/>
  <c r="AF31" i="12"/>
  <c r="AF27" i="12"/>
  <c r="AF23" i="12"/>
  <c r="AF19" i="12"/>
  <c r="AF15" i="12"/>
  <c r="AF7" i="12"/>
  <c r="W18" i="13"/>
  <c r="W22" i="13"/>
  <c r="H26" i="13"/>
  <c r="W26" i="13"/>
  <c r="AF38" i="13"/>
  <c r="Z12" i="14"/>
  <c r="T20" i="14"/>
  <c r="AF20" i="14"/>
  <c r="W21" i="14"/>
  <c r="AF25" i="14"/>
  <c r="Z29" i="14"/>
  <c r="AF35" i="14"/>
  <c r="O36" i="14"/>
  <c r="AF36" i="14"/>
  <c r="Z46" i="12"/>
  <c r="T20" i="12"/>
  <c r="T16" i="12"/>
  <c r="T12" i="12"/>
  <c r="Z44" i="12"/>
  <c r="Z28" i="12"/>
  <c r="Z24" i="12"/>
  <c r="Z20" i="12"/>
  <c r="Z16" i="12"/>
  <c r="Z12" i="12"/>
  <c r="Z8" i="12"/>
  <c r="AC44" i="12"/>
  <c r="AC40" i="12"/>
  <c r="AC24" i="12"/>
  <c r="AC20" i="12"/>
  <c r="AC16" i="12"/>
  <c r="AC12" i="12"/>
  <c r="AF48" i="12"/>
  <c r="AF44" i="12"/>
  <c r="AF40" i="12"/>
  <c r="AF28" i="12"/>
  <c r="AF24" i="12"/>
  <c r="AF20" i="12"/>
  <c r="AF16" i="12"/>
  <c r="AF12" i="12"/>
  <c r="AF8" i="12"/>
  <c r="O6" i="13"/>
  <c r="AF6" i="13"/>
  <c r="W10" i="13"/>
  <c r="AC14" i="13"/>
  <c r="AF19" i="13"/>
  <c r="H22" i="13"/>
  <c r="T22" i="13"/>
  <c r="AF22" i="13"/>
  <c r="T26" i="13"/>
  <c r="AC34" i="13"/>
  <c r="H38" i="13"/>
  <c r="AC42" i="13"/>
  <c r="O38" i="13"/>
  <c r="O34" i="13"/>
  <c r="O26" i="13"/>
  <c r="T50" i="13"/>
  <c r="T42" i="13"/>
  <c r="T38" i="13"/>
  <c r="T34" i="13"/>
  <c r="T14" i="13"/>
  <c r="T6" i="13"/>
  <c r="Z30" i="13"/>
  <c r="Z26" i="13"/>
  <c r="O4" i="14"/>
  <c r="AC4" i="14"/>
  <c r="AB52" i="14"/>
  <c r="W9" i="14"/>
  <c r="T16" i="14"/>
  <c r="AF16" i="14"/>
  <c r="AC18" i="14"/>
  <c r="T21" i="14"/>
  <c r="T24" i="14"/>
  <c r="AF24" i="14"/>
  <c r="AC25" i="14"/>
  <c r="T28" i="14"/>
  <c r="AF28" i="14"/>
  <c r="AC30" i="14"/>
  <c r="AC33" i="14"/>
  <c r="O40" i="14"/>
  <c r="Z40" i="14"/>
  <c r="H45" i="14"/>
  <c r="T45" i="14"/>
  <c r="AF50" i="14"/>
  <c r="I49" i="14"/>
  <c r="K49" i="14"/>
  <c r="O25" i="14"/>
  <c r="W13" i="14"/>
  <c r="Z49" i="14"/>
  <c r="Z45" i="14"/>
  <c r="Z33" i="14"/>
  <c r="Z25" i="14"/>
  <c r="Z21" i="14"/>
  <c r="AC38" i="14"/>
  <c r="AC15" i="14"/>
  <c r="AF39" i="14"/>
  <c r="AF30" i="14"/>
  <c r="AF15" i="14"/>
  <c r="AF6" i="14"/>
  <c r="Z27" i="13"/>
  <c r="Z23" i="13"/>
  <c r="Z19" i="13"/>
  <c r="Z11" i="13"/>
  <c r="AC35" i="13"/>
  <c r="AC31" i="13"/>
  <c r="AC23" i="13"/>
  <c r="AC15" i="13"/>
  <c r="AF51" i="13"/>
  <c r="AF47" i="13"/>
  <c r="AF35" i="13"/>
  <c r="AF27" i="13"/>
  <c r="AF11" i="13"/>
  <c r="Z4" i="14"/>
  <c r="Y52" i="14"/>
  <c r="Y54" i="14" s="1"/>
  <c r="Z5" i="14"/>
  <c r="AC6" i="14"/>
  <c r="Z8" i="14"/>
  <c r="AC9" i="14"/>
  <c r="T12" i="14"/>
  <c r="AF12" i="14"/>
  <c r="AC14" i="14"/>
  <c r="AC20" i="14"/>
  <c r="Z24" i="14"/>
  <c r="O28" i="14"/>
  <c r="Z28" i="14"/>
  <c r="AC29" i="14"/>
  <c r="W32" i="14"/>
  <c r="AC37" i="14"/>
  <c r="AC42" i="14"/>
  <c r="T44" i="14"/>
  <c r="AF44" i="14"/>
  <c r="O48" i="14"/>
  <c r="AC46" i="14"/>
  <c r="AC23" i="14"/>
  <c r="AC11" i="14"/>
  <c r="AF51" i="14"/>
  <c r="AF38" i="14"/>
  <c r="AF26" i="14"/>
  <c r="AF14" i="14"/>
  <c r="J49" i="10"/>
  <c r="J51" i="10"/>
  <c r="K51" i="10"/>
  <c r="W46" i="13"/>
  <c r="AC14" i="3"/>
  <c r="I50" i="3"/>
  <c r="AC26" i="11"/>
  <c r="AC30" i="11"/>
  <c r="AC33" i="11"/>
  <c r="Z36" i="11"/>
  <c r="G50" i="11"/>
  <c r="AF18" i="14"/>
  <c r="AC8" i="14"/>
  <c r="AC13" i="14"/>
  <c r="AF10" i="14"/>
  <c r="AC50" i="14"/>
  <c r="Z46" i="14"/>
  <c r="W31" i="14"/>
  <c r="W27" i="14"/>
  <c r="W28" i="14"/>
  <c r="T14" i="14"/>
  <c r="N7" i="14"/>
  <c r="O7" i="14" s="1"/>
  <c r="Q11" i="14"/>
  <c r="Q15" i="14"/>
  <c r="P23" i="14"/>
  <c r="P6" i="14"/>
  <c r="N23" i="14"/>
  <c r="O23" i="14" s="1"/>
  <c r="Q26" i="14"/>
  <c r="N34" i="14"/>
  <c r="O34" i="14" s="1"/>
  <c r="P35" i="14"/>
  <c r="P47" i="14"/>
  <c r="Q51" i="14"/>
  <c r="N27" i="14"/>
  <c r="O27" i="14" s="1"/>
  <c r="Q31" i="14"/>
  <c r="Q35" i="14"/>
  <c r="P51" i="14"/>
  <c r="G15" i="14"/>
  <c r="H15" i="14" s="1"/>
  <c r="K19" i="14"/>
  <c r="I27" i="14"/>
  <c r="G31" i="14"/>
  <c r="H31" i="14" s="1"/>
  <c r="G35" i="14"/>
  <c r="H35" i="14" s="1"/>
  <c r="I39" i="14"/>
  <c r="J43" i="14"/>
  <c r="G6" i="14"/>
  <c r="H6" i="14" s="1"/>
  <c r="J10" i="14"/>
  <c r="L10" i="14"/>
  <c r="K11" i="14"/>
  <c r="G14" i="14"/>
  <c r="H14" i="14" s="1"/>
  <c r="L14" i="14"/>
  <c r="I18" i="14"/>
  <c r="K27" i="14"/>
  <c r="J31" i="14"/>
  <c r="J35" i="14"/>
  <c r="K38" i="14"/>
  <c r="J39" i="14"/>
  <c r="K43" i="14"/>
  <c r="I46" i="14"/>
  <c r="I11" i="14"/>
  <c r="K47" i="14"/>
  <c r="J6" i="14"/>
  <c r="J14" i="14"/>
  <c r="Z13" i="14"/>
  <c r="T18" i="14"/>
  <c r="I33" i="14"/>
  <c r="J33" i="14"/>
  <c r="L5" i="14"/>
  <c r="K8" i="14"/>
  <c r="K13" i="14"/>
  <c r="G13" i="14"/>
  <c r="H13" i="14" s="1"/>
  <c r="L13" i="14"/>
  <c r="G16" i="14"/>
  <c r="H16" i="14" s="1"/>
  <c r="P19" i="14"/>
  <c r="G26" i="14"/>
  <c r="H26" i="14" s="1"/>
  <c r="G33" i="14"/>
  <c r="H33" i="14" s="1"/>
  <c r="I42" i="14"/>
  <c r="J42" i="14"/>
  <c r="K42" i="14"/>
  <c r="H4" i="14"/>
  <c r="T5" i="14"/>
  <c r="AC5" i="14"/>
  <c r="I8" i="14"/>
  <c r="T8" i="14"/>
  <c r="K9" i="14"/>
  <c r="G9" i="14"/>
  <c r="H9" i="14" s="1"/>
  <c r="L9" i="14"/>
  <c r="H10" i="14"/>
  <c r="Z10" i="14"/>
  <c r="J13" i="14"/>
  <c r="T13" i="14"/>
  <c r="Q14" i="14"/>
  <c r="K17" i="14"/>
  <c r="G17" i="14"/>
  <c r="H17" i="14" s="1"/>
  <c r="L17" i="14"/>
  <c r="H18" i="14"/>
  <c r="O18" i="14"/>
  <c r="Z18" i="14"/>
  <c r="K22" i="14"/>
  <c r="J23" i="14"/>
  <c r="K26" i="14"/>
  <c r="T27" i="14"/>
  <c r="Z27" i="14"/>
  <c r="I29" i="14"/>
  <c r="J29" i="14"/>
  <c r="AF31" i="14"/>
  <c r="O49" i="14"/>
  <c r="T10" i="14"/>
  <c r="AF13" i="14"/>
  <c r="L16" i="14"/>
  <c r="I16" i="14"/>
  <c r="G28" i="14"/>
  <c r="H28" i="14" s="1"/>
  <c r="I28" i="14"/>
  <c r="P36" i="14"/>
  <c r="Q36" i="14"/>
  <c r="N39" i="14"/>
  <c r="O39" i="14" s="1"/>
  <c r="P39" i="14"/>
  <c r="K5" i="14"/>
  <c r="G5" i="14"/>
  <c r="H5" i="14" s="1"/>
  <c r="K7" i="14"/>
  <c r="W10" i="14"/>
  <c r="N13" i="14"/>
  <c r="O13" i="14" s="1"/>
  <c r="W18" i="14"/>
  <c r="G22" i="14"/>
  <c r="H22" i="14" s="1"/>
  <c r="AC27" i="14"/>
  <c r="G32" i="14"/>
  <c r="H32" i="14" s="1"/>
  <c r="I32" i="14"/>
  <c r="Q39" i="14"/>
  <c r="N43" i="14"/>
  <c r="O43" i="14" s="1"/>
  <c r="Q43" i="14"/>
  <c r="P43" i="14"/>
  <c r="K4" i="14"/>
  <c r="Q4" i="14"/>
  <c r="G7" i="14"/>
  <c r="H7" i="14" s="1"/>
  <c r="L7" i="14"/>
  <c r="G8" i="14"/>
  <c r="H8" i="14" s="1"/>
  <c r="AF9" i="14"/>
  <c r="L12" i="14"/>
  <c r="I12" i="14"/>
  <c r="I13" i="14"/>
  <c r="Q13" i="14"/>
  <c r="P14" i="14"/>
  <c r="J16" i="14"/>
  <c r="AF17" i="14"/>
  <c r="Q19" i="14"/>
  <c r="K21" i="14"/>
  <c r="J22" i="14"/>
  <c r="G23" i="14"/>
  <c r="H23" i="14" s="1"/>
  <c r="K25" i="14"/>
  <c r="J26" i="14"/>
  <c r="AF27" i="14"/>
  <c r="K28" i="14"/>
  <c r="AC31" i="14"/>
  <c r="J32" i="14"/>
  <c r="T32" i="14"/>
  <c r="K33" i="14"/>
  <c r="G42" i="14"/>
  <c r="H42" i="14" s="1"/>
  <c r="P46" i="14"/>
  <c r="N46" i="14"/>
  <c r="O46" i="14" s="1"/>
  <c r="Q46" i="14"/>
  <c r="AF49" i="14"/>
  <c r="J11" i="14"/>
  <c r="Q12" i="14"/>
  <c r="J15" i="14"/>
  <c r="Q16" i="14"/>
  <c r="J19" i="14"/>
  <c r="J20" i="14"/>
  <c r="H27" i="14"/>
  <c r="AC28" i="14"/>
  <c r="K30" i="14"/>
  <c r="AC32" i="14"/>
  <c r="K34" i="14"/>
  <c r="AC36" i="14"/>
  <c r="K37" i="14"/>
  <c r="G37" i="14"/>
  <c r="H37" i="14" s="1"/>
  <c r="T41" i="14"/>
  <c r="P44" i="14"/>
  <c r="N44" i="14"/>
  <c r="O44" i="14" s="1"/>
  <c r="T46" i="14"/>
  <c r="P49" i="14"/>
  <c r="Q49" i="14"/>
  <c r="W49" i="14"/>
  <c r="AC49" i="14"/>
  <c r="Z36" i="14"/>
  <c r="I38" i="14"/>
  <c r="J38" i="14"/>
  <c r="Z41" i="14"/>
  <c r="AF41" i="14"/>
  <c r="W44" i="14"/>
  <c r="P45" i="14"/>
  <c r="Q45" i="14"/>
  <c r="AC45" i="14"/>
  <c r="AF46" i="14"/>
  <c r="P50" i="14"/>
  <c r="N50" i="14"/>
  <c r="O50" i="14" s="1"/>
  <c r="T36" i="14"/>
  <c r="AC40" i="14"/>
  <c r="K41" i="14"/>
  <c r="G41" i="14"/>
  <c r="H41" i="14" s="1"/>
  <c r="T48" i="14"/>
  <c r="AF48" i="14"/>
  <c r="J36" i="14"/>
  <c r="P37" i="14"/>
  <c r="Q38" i="14"/>
  <c r="J40" i="14"/>
  <c r="Q42" i="14"/>
  <c r="I43" i="14"/>
  <c r="J45" i="14"/>
  <c r="J46" i="14"/>
  <c r="J47" i="14"/>
  <c r="J48" i="14"/>
  <c r="J49" i="14"/>
  <c r="J50" i="14"/>
  <c r="J51" i="14"/>
  <c r="G36" i="14"/>
  <c r="H36" i="14" s="1"/>
  <c r="G40" i="14"/>
  <c r="H40" i="14" s="1"/>
  <c r="G46" i="14"/>
  <c r="H46" i="14" s="1"/>
  <c r="G47" i="14"/>
  <c r="H47" i="14" s="1"/>
  <c r="G48" i="14"/>
  <c r="H48" i="14" s="1"/>
  <c r="G49" i="14"/>
  <c r="H49" i="14" s="1"/>
  <c r="G50" i="14"/>
  <c r="H50" i="14" s="1"/>
  <c r="G51" i="14"/>
  <c r="H51" i="14" s="1"/>
  <c r="AF20" i="13"/>
  <c r="AF36" i="13"/>
  <c r="AC19" i="13"/>
  <c r="W34" i="13"/>
  <c r="W50" i="13"/>
  <c r="T11" i="13"/>
  <c r="P15" i="13"/>
  <c r="Q39" i="13"/>
  <c r="P47" i="13"/>
  <c r="N7" i="13"/>
  <c r="O7" i="13" s="1"/>
  <c r="P26" i="13"/>
  <c r="N30" i="13"/>
  <c r="Q31" i="13"/>
  <c r="Q42" i="13"/>
  <c r="Q43" i="13"/>
  <c r="N46" i="13"/>
  <c r="O46" i="13" s="1"/>
  <c r="N51" i="13"/>
  <c r="O51" i="13" s="1"/>
  <c r="O47" i="13"/>
  <c r="Q35" i="13"/>
  <c r="P43" i="13"/>
  <c r="I8" i="13"/>
  <c r="L12" i="13"/>
  <c r="K16" i="13"/>
  <c r="J20" i="13"/>
  <c r="G24" i="13"/>
  <c r="H24" i="13" s="1"/>
  <c r="K7" i="13"/>
  <c r="G8" i="13"/>
  <c r="H8" i="13" s="1"/>
  <c r="I11" i="13"/>
  <c r="G12" i="13"/>
  <c r="H12" i="13" s="1"/>
  <c r="G15" i="13"/>
  <c r="H15" i="13" s="1"/>
  <c r="L16" i="13"/>
  <c r="J19" i="13"/>
  <c r="K19" i="13"/>
  <c r="G20" i="13"/>
  <c r="H20" i="13" s="1"/>
  <c r="L20" i="13"/>
  <c r="I27" i="13"/>
  <c r="J32" i="13"/>
  <c r="I40" i="13"/>
  <c r="I47" i="13"/>
  <c r="I28" i="13"/>
  <c r="J7" i="13"/>
  <c r="J11" i="13"/>
  <c r="T7" i="13"/>
  <c r="Z10" i="13"/>
  <c r="L13" i="13"/>
  <c r="I13" i="13"/>
  <c r="T15" i="13"/>
  <c r="Z18" i="13"/>
  <c r="Q27" i="13"/>
  <c r="N27" i="13"/>
  <c r="O27" i="13" s="1"/>
  <c r="Z46" i="13"/>
  <c r="G4" i="13"/>
  <c r="N10" i="13"/>
  <c r="O10" i="13" s="1"/>
  <c r="W15" i="13"/>
  <c r="AF15" i="13"/>
  <c r="K18" i="13"/>
  <c r="G18" i="13"/>
  <c r="H18" i="13" s="1"/>
  <c r="L18" i="13"/>
  <c r="N19" i="13"/>
  <c r="O19" i="13" s="1"/>
  <c r="I41" i="13"/>
  <c r="J41" i="13"/>
  <c r="G41" i="13"/>
  <c r="H41" i="13" s="1"/>
  <c r="K50" i="13"/>
  <c r="G50" i="13"/>
  <c r="H50" i="13" s="1"/>
  <c r="J50" i="13"/>
  <c r="I50" i="13"/>
  <c r="L4" i="13"/>
  <c r="P4" i="13"/>
  <c r="G5" i="13"/>
  <c r="H5" i="13" s="1"/>
  <c r="K5" i="13"/>
  <c r="K6" i="13"/>
  <c r="G6" i="13"/>
  <c r="H6" i="13" s="1"/>
  <c r="L6" i="13"/>
  <c r="L9" i="13"/>
  <c r="I9" i="13"/>
  <c r="Q10" i="13"/>
  <c r="P11" i="13"/>
  <c r="J13" i="13"/>
  <c r="AF14" i="13"/>
  <c r="L17" i="13"/>
  <c r="I17" i="13"/>
  <c r="I18" i="13"/>
  <c r="Q18" i="13"/>
  <c r="Q19" i="13"/>
  <c r="P20" i="13"/>
  <c r="T20" i="13"/>
  <c r="Q23" i="13"/>
  <c r="P24" i="13"/>
  <c r="G30" i="13"/>
  <c r="H30" i="13" s="1"/>
  <c r="I30" i="13"/>
  <c r="K41" i="13"/>
  <c r="J4" i="13"/>
  <c r="W5" i="13"/>
  <c r="AF10" i="13"/>
  <c r="AF18" i="13"/>
  <c r="I36" i="13"/>
  <c r="J36" i="13"/>
  <c r="K36" i="13"/>
  <c r="K4" i="13"/>
  <c r="J5" i="13"/>
  <c r="N5" i="13"/>
  <c r="O5" i="13" s="1"/>
  <c r="W7" i="13"/>
  <c r="AF7" i="13"/>
  <c r="K10" i="13"/>
  <c r="G10" i="13"/>
  <c r="H10" i="13" s="1"/>
  <c r="L10" i="13"/>
  <c r="G13" i="13"/>
  <c r="H13" i="13" s="1"/>
  <c r="N18" i="13"/>
  <c r="O18" i="13" s="1"/>
  <c r="P23" i="13"/>
  <c r="P27" i="13"/>
  <c r="I31" i="13"/>
  <c r="J31" i="13"/>
  <c r="W51" i="13"/>
  <c r="Q5" i="13"/>
  <c r="AF5" i="13"/>
  <c r="Z7" i="13"/>
  <c r="J10" i="13"/>
  <c r="T10" i="13"/>
  <c r="Q11" i="13"/>
  <c r="K13" i="13"/>
  <c r="K14" i="13"/>
  <c r="G14" i="13"/>
  <c r="H14" i="13" s="1"/>
  <c r="L14" i="13"/>
  <c r="W14" i="13"/>
  <c r="O15" i="13"/>
  <c r="Z15" i="13"/>
  <c r="G17" i="13"/>
  <c r="H17" i="13" s="1"/>
  <c r="J18" i="13"/>
  <c r="T18" i="13"/>
  <c r="T19" i="13"/>
  <c r="Q20" i="13"/>
  <c r="W20" i="13"/>
  <c r="P21" i="13"/>
  <c r="Q24" i="13"/>
  <c r="P25" i="13"/>
  <c r="AC29" i="13"/>
  <c r="J30" i="13"/>
  <c r="O30" i="13"/>
  <c r="T30" i="13"/>
  <c r="K31" i="13"/>
  <c r="G34" i="13"/>
  <c r="H34" i="13" s="1"/>
  <c r="I34" i="13"/>
  <c r="Z34" i="13"/>
  <c r="AF46" i="13"/>
  <c r="K49" i="13"/>
  <c r="G49" i="13"/>
  <c r="H49" i="13" s="1"/>
  <c r="J49" i="13"/>
  <c r="I49" i="13"/>
  <c r="J8" i="13"/>
  <c r="Q9" i="13"/>
  <c r="J12" i="13"/>
  <c r="Q13" i="13"/>
  <c r="J16" i="13"/>
  <c r="Q17" i="13"/>
  <c r="J21" i="13"/>
  <c r="J22" i="13"/>
  <c r="J23" i="13"/>
  <c r="J24" i="13"/>
  <c r="J25" i="13"/>
  <c r="J26" i="13"/>
  <c r="J27" i="13"/>
  <c r="K28" i="13"/>
  <c r="H29" i="13"/>
  <c r="AC30" i="13"/>
  <c r="K32" i="13"/>
  <c r="K45" i="13"/>
  <c r="G45" i="13"/>
  <c r="H45" i="13" s="1"/>
  <c r="J45" i="13"/>
  <c r="AF50" i="13"/>
  <c r="T51" i="13"/>
  <c r="Z51" i="13"/>
  <c r="K35" i="13"/>
  <c r="I37" i="13"/>
  <c r="J37" i="13"/>
  <c r="G37" i="13"/>
  <c r="H37" i="13" s="1"/>
  <c r="K46" i="13"/>
  <c r="G46" i="13"/>
  <c r="H46" i="13" s="1"/>
  <c r="J46" i="13"/>
  <c r="I46" i="13"/>
  <c r="T46" i="13"/>
  <c r="O50" i="13"/>
  <c r="Z36" i="13"/>
  <c r="T39" i="13"/>
  <c r="Z40" i="13"/>
  <c r="T43" i="13"/>
  <c r="AC46" i="13"/>
  <c r="K47" i="13"/>
  <c r="G47" i="13"/>
  <c r="H47" i="13" s="1"/>
  <c r="AC50" i="13"/>
  <c r="K51" i="13"/>
  <c r="G51" i="13"/>
  <c r="H51" i="13" s="1"/>
  <c r="T36" i="13"/>
  <c r="AC39" i="13"/>
  <c r="K40" i="13"/>
  <c r="G40" i="13"/>
  <c r="H40" i="13" s="1"/>
  <c r="AC43" i="13"/>
  <c r="K44" i="13"/>
  <c r="G44" i="13"/>
  <c r="H44" i="13" s="1"/>
  <c r="T45" i="13"/>
  <c r="AF45" i="13"/>
  <c r="AC47" i="13"/>
  <c r="K48" i="13"/>
  <c r="G48" i="13"/>
  <c r="H48" i="13" s="1"/>
  <c r="T49" i="13"/>
  <c r="AF49" i="13"/>
  <c r="AC51" i="13"/>
  <c r="N37" i="13"/>
  <c r="O37" i="13" s="1"/>
  <c r="G39" i="13"/>
  <c r="H39" i="13" s="1"/>
  <c r="K39" i="13"/>
  <c r="N41" i="13"/>
  <c r="O41" i="13" s="1"/>
  <c r="G43" i="13"/>
  <c r="H43" i="13" s="1"/>
  <c r="K43" i="13"/>
  <c r="Q44" i="13"/>
  <c r="Q45" i="13"/>
  <c r="Q46" i="13"/>
  <c r="Q47" i="13"/>
  <c r="Q48" i="13"/>
  <c r="Q49" i="13"/>
  <c r="Q50" i="13"/>
  <c r="Q51" i="13"/>
  <c r="Z32" i="12"/>
  <c r="O35" i="12"/>
  <c r="N23" i="12"/>
  <c r="O23" i="12" s="1"/>
  <c r="Q27" i="12"/>
  <c r="Q43" i="12"/>
  <c r="N7" i="12"/>
  <c r="O7" i="12" s="1"/>
  <c r="Q15" i="12"/>
  <c r="N26" i="12"/>
  <c r="O26" i="12" s="1"/>
  <c r="Q30" i="12"/>
  <c r="P31" i="12"/>
  <c r="Q34" i="12"/>
  <c r="P35" i="12"/>
  <c r="N39" i="12"/>
  <c r="O39" i="12" s="1"/>
  <c r="P50" i="12"/>
  <c r="Q35" i="12"/>
  <c r="N51" i="12"/>
  <c r="O51" i="12" s="1"/>
  <c r="I8" i="12"/>
  <c r="I12" i="12"/>
  <c r="I36" i="12"/>
  <c r="J39" i="12"/>
  <c r="I40" i="12"/>
  <c r="K20" i="12"/>
  <c r="L7" i="12"/>
  <c r="I7" i="12"/>
  <c r="L11" i="12"/>
  <c r="I11" i="12"/>
  <c r="K24" i="12"/>
  <c r="G24" i="12"/>
  <c r="H24" i="12" s="1"/>
  <c r="P17" i="12"/>
  <c r="G19" i="12"/>
  <c r="H19" i="12" s="1"/>
  <c r="T32" i="12"/>
  <c r="T4" i="12"/>
  <c r="AF4" i="12"/>
  <c r="P5" i="12"/>
  <c r="W5" i="12"/>
  <c r="K7" i="12"/>
  <c r="K8" i="12"/>
  <c r="G8" i="12"/>
  <c r="H8" i="12" s="1"/>
  <c r="L8" i="12"/>
  <c r="N8" i="12"/>
  <c r="O8" i="12" s="1"/>
  <c r="K11" i="12"/>
  <c r="K12" i="12"/>
  <c r="G12" i="12"/>
  <c r="H12" i="12" s="1"/>
  <c r="L12" i="12"/>
  <c r="N12" i="12"/>
  <c r="O12" i="12" s="1"/>
  <c r="K16" i="12"/>
  <c r="G16" i="12"/>
  <c r="H16" i="12" s="1"/>
  <c r="L16" i="12"/>
  <c r="N16" i="12"/>
  <c r="O16" i="12" s="1"/>
  <c r="K19" i="12"/>
  <c r="L20" i="12"/>
  <c r="I20" i="12"/>
  <c r="AC28" i="12"/>
  <c r="T30" i="12"/>
  <c r="AF30" i="12"/>
  <c r="W32" i="12"/>
  <c r="AC32" i="12"/>
  <c r="T34" i="12"/>
  <c r="Z35" i="12"/>
  <c r="O48" i="12"/>
  <c r="W48" i="12"/>
  <c r="L15" i="12"/>
  <c r="I15" i="12"/>
  <c r="K22" i="12"/>
  <c r="G22" i="12"/>
  <c r="H22" i="12" s="1"/>
  <c r="K26" i="12"/>
  <c r="G26" i="12"/>
  <c r="H26" i="12" s="1"/>
  <c r="K28" i="12"/>
  <c r="G28" i="12"/>
  <c r="H28" i="12" s="1"/>
  <c r="I28" i="12"/>
  <c r="K4" i="12"/>
  <c r="G4" i="12"/>
  <c r="L4" i="12"/>
  <c r="N4" i="12"/>
  <c r="G7" i="12"/>
  <c r="H7" i="12" s="1"/>
  <c r="P9" i="12"/>
  <c r="G11" i="12"/>
  <c r="H11" i="12" s="1"/>
  <c r="P13" i="12"/>
  <c r="G15" i="12"/>
  <c r="H15" i="12" s="1"/>
  <c r="I24" i="12"/>
  <c r="I26" i="12"/>
  <c r="AF32" i="12"/>
  <c r="N42" i="12"/>
  <c r="O42" i="12" s="1"/>
  <c r="P42" i="12"/>
  <c r="Q42" i="12"/>
  <c r="I4" i="12"/>
  <c r="Q4" i="12"/>
  <c r="O5" i="12"/>
  <c r="J7" i="12"/>
  <c r="Q9" i="12"/>
  <c r="J11" i="12"/>
  <c r="Q13" i="12"/>
  <c r="J15" i="12"/>
  <c r="Q17" i="12"/>
  <c r="J19" i="12"/>
  <c r="K21" i="12"/>
  <c r="G21" i="12"/>
  <c r="H21" i="12" s="1"/>
  <c r="J22" i="12"/>
  <c r="K23" i="12"/>
  <c r="G23" i="12"/>
  <c r="H23" i="12" s="1"/>
  <c r="J24" i="12"/>
  <c r="K25" i="12"/>
  <c r="G25" i="12"/>
  <c r="H25" i="12" s="1"/>
  <c r="J26" i="12"/>
  <c r="P28" i="12"/>
  <c r="N28" i="12"/>
  <c r="O28" i="12" s="1"/>
  <c r="K46" i="12"/>
  <c r="G46" i="12"/>
  <c r="H46" i="12" s="1"/>
  <c r="I46" i="12"/>
  <c r="J46" i="12"/>
  <c r="K34" i="12"/>
  <c r="G34" i="12"/>
  <c r="H34" i="12" s="1"/>
  <c r="AF36" i="12"/>
  <c r="G5" i="12"/>
  <c r="H5" i="12" s="1"/>
  <c r="K5" i="12"/>
  <c r="J6" i="12"/>
  <c r="G9" i="12"/>
  <c r="H9" i="12" s="1"/>
  <c r="K9" i="12"/>
  <c r="N10" i="12"/>
  <c r="O10" i="12" s="1"/>
  <c r="Q11" i="12"/>
  <c r="G13" i="12"/>
  <c r="H13" i="12" s="1"/>
  <c r="K13" i="12"/>
  <c r="N14" i="12"/>
  <c r="O14" i="12" s="1"/>
  <c r="G17" i="12"/>
  <c r="H17" i="12" s="1"/>
  <c r="K17" i="12"/>
  <c r="N18" i="12"/>
  <c r="O18" i="12" s="1"/>
  <c r="N19" i="12"/>
  <c r="O19" i="12" s="1"/>
  <c r="K27" i="12"/>
  <c r="G27" i="12"/>
  <c r="H27" i="12" s="1"/>
  <c r="K29" i="12"/>
  <c r="G29" i="12"/>
  <c r="H29" i="12" s="1"/>
  <c r="K31" i="12"/>
  <c r="G31" i="12"/>
  <c r="H31" i="12" s="1"/>
  <c r="K33" i="12"/>
  <c r="G33" i="12"/>
  <c r="H33" i="12" s="1"/>
  <c r="I34" i="12"/>
  <c r="AF34" i="12"/>
  <c r="W35" i="12"/>
  <c r="T36" i="12"/>
  <c r="AC36" i="12"/>
  <c r="I37" i="12"/>
  <c r="J37" i="12"/>
  <c r="K37" i="12"/>
  <c r="I41" i="12"/>
  <c r="G41" i="12"/>
  <c r="H41" i="12" s="1"/>
  <c r="J41" i="12"/>
  <c r="K45" i="12"/>
  <c r="G45" i="12"/>
  <c r="H45" i="12" s="1"/>
  <c r="J45" i="12"/>
  <c r="AC46" i="12"/>
  <c r="AC48" i="12"/>
  <c r="T50" i="12"/>
  <c r="Z50" i="12"/>
  <c r="K51" i="12"/>
  <c r="G51" i="12"/>
  <c r="H51" i="12" s="1"/>
  <c r="J51" i="12"/>
  <c r="K30" i="12"/>
  <c r="G30" i="12"/>
  <c r="H30" i="12" s="1"/>
  <c r="K32" i="12"/>
  <c r="G32" i="12"/>
  <c r="H32" i="12" s="1"/>
  <c r="G35" i="12"/>
  <c r="H35" i="12" s="1"/>
  <c r="I35" i="12"/>
  <c r="O36" i="12"/>
  <c r="O50" i="12"/>
  <c r="N30" i="12"/>
  <c r="O30" i="12" s="1"/>
  <c r="N32" i="12"/>
  <c r="O32" i="12" s="1"/>
  <c r="N34" i="12"/>
  <c r="O34" i="12" s="1"/>
  <c r="J35" i="12"/>
  <c r="Z36" i="12"/>
  <c r="K47" i="12"/>
  <c r="G47" i="12"/>
  <c r="H47" i="12" s="1"/>
  <c r="J47" i="12"/>
  <c r="T48" i="12"/>
  <c r="Z48" i="12"/>
  <c r="K49" i="12"/>
  <c r="G49" i="12"/>
  <c r="H49" i="12" s="1"/>
  <c r="J49" i="12"/>
  <c r="P38" i="12"/>
  <c r="AC39" i="12"/>
  <c r="K40" i="12"/>
  <c r="G40" i="12"/>
  <c r="H40" i="12" s="1"/>
  <c r="AC43" i="12"/>
  <c r="K44" i="12"/>
  <c r="G44" i="12"/>
  <c r="H44" i="12" s="1"/>
  <c r="AC35" i="12"/>
  <c r="K36" i="12"/>
  <c r="G36" i="12"/>
  <c r="H36" i="12" s="1"/>
  <c r="Z40" i="12"/>
  <c r="K48" i="12"/>
  <c r="G48" i="12"/>
  <c r="H48" i="12" s="1"/>
  <c r="K50" i="12"/>
  <c r="G50" i="12"/>
  <c r="H50" i="12" s="1"/>
  <c r="G39" i="12"/>
  <c r="H39" i="12" s="1"/>
  <c r="K39" i="12"/>
  <c r="N41" i="12"/>
  <c r="O41" i="12" s="1"/>
  <c r="J42" i="12"/>
  <c r="G43" i="12"/>
  <c r="H43" i="12" s="1"/>
  <c r="K43" i="12"/>
  <c r="Q44" i="12"/>
  <c r="Q45" i="12"/>
  <c r="Q47" i="12"/>
  <c r="AC32" i="11"/>
  <c r="AC47" i="11"/>
  <c r="AC15" i="11"/>
  <c r="AC31" i="11"/>
  <c r="AC24" i="11"/>
  <c r="AC20" i="11"/>
  <c r="AC23" i="11"/>
  <c r="AC27" i="11"/>
  <c r="AC28" i="11"/>
  <c r="AC35" i="11"/>
  <c r="T16" i="11"/>
  <c r="Q44" i="11"/>
  <c r="N7" i="11"/>
  <c r="O7" i="11" s="1"/>
  <c r="Q11" i="11"/>
  <c r="N15" i="11"/>
  <c r="O15" i="11" s="1"/>
  <c r="N16" i="11"/>
  <c r="O16" i="11" s="1"/>
  <c r="P48" i="11"/>
  <c r="N51" i="11"/>
  <c r="O51" i="11" s="1"/>
  <c r="P12" i="11"/>
  <c r="K27" i="11"/>
  <c r="K35" i="11"/>
  <c r="J39" i="11"/>
  <c r="G51" i="11"/>
  <c r="I7" i="11"/>
  <c r="I14" i="11"/>
  <c r="J23" i="11"/>
  <c r="K23" i="11"/>
  <c r="G26" i="11"/>
  <c r="H26" i="11" s="1"/>
  <c r="J31" i="11"/>
  <c r="K31" i="11"/>
  <c r="G34" i="11"/>
  <c r="H34" i="11" s="1"/>
  <c r="I38" i="11"/>
  <c r="K39" i="11"/>
  <c r="G42" i="11"/>
  <c r="H42" i="11" s="1"/>
  <c r="J43" i="11"/>
  <c r="I47" i="11"/>
  <c r="J50" i="11"/>
  <c r="H51" i="11"/>
  <c r="K51" i="11"/>
  <c r="J11" i="11"/>
  <c r="K11" i="11"/>
  <c r="I15" i="11"/>
  <c r="J27" i="11"/>
  <c r="J35" i="11"/>
  <c r="J47" i="11"/>
  <c r="G11" i="11"/>
  <c r="H11" i="11" s="1"/>
  <c r="J26" i="11"/>
  <c r="J34" i="11"/>
  <c r="H50" i="11"/>
  <c r="K10" i="11"/>
  <c r="G10" i="11"/>
  <c r="H10" i="11" s="1"/>
  <c r="L10" i="11"/>
  <c r="Q10" i="11"/>
  <c r="L12" i="11"/>
  <c r="I12" i="11"/>
  <c r="Q13" i="11"/>
  <c r="T15" i="11"/>
  <c r="AF15" i="11"/>
  <c r="AF16" i="11"/>
  <c r="T18" i="11"/>
  <c r="K19" i="11"/>
  <c r="G19" i="11"/>
  <c r="H19" i="11" s="1"/>
  <c r="I19" i="11"/>
  <c r="T19" i="11"/>
  <c r="AF19" i="11"/>
  <c r="O47" i="11"/>
  <c r="W47" i="11"/>
  <c r="T49" i="11"/>
  <c r="Z49" i="11"/>
  <c r="J5" i="11"/>
  <c r="Q6" i="11"/>
  <c r="J9" i="11"/>
  <c r="G5" i="11"/>
  <c r="H5" i="11" s="1"/>
  <c r="K5" i="11"/>
  <c r="J6" i="11"/>
  <c r="N6" i="11"/>
  <c r="O6" i="11" s="1"/>
  <c r="Q7" i="11"/>
  <c r="G9" i="11"/>
  <c r="H9" i="11" s="1"/>
  <c r="K9" i="11"/>
  <c r="AF20" i="11"/>
  <c r="P21" i="11"/>
  <c r="Q21" i="11"/>
  <c r="P23" i="11"/>
  <c r="Q23" i="11"/>
  <c r="P25" i="11"/>
  <c r="Q25" i="11"/>
  <c r="P27" i="11"/>
  <c r="Q27" i="11"/>
  <c r="P29" i="11"/>
  <c r="Q29" i="11"/>
  <c r="P31" i="11"/>
  <c r="Q31" i="11"/>
  <c r="P33" i="11"/>
  <c r="Q33" i="11"/>
  <c r="P35" i="11"/>
  <c r="Q35" i="11"/>
  <c r="P40" i="11"/>
  <c r="Q40" i="11"/>
  <c r="K41" i="11"/>
  <c r="G41" i="11"/>
  <c r="H41" i="11" s="1"/>
  <c r="J41" i="11"/>
  <c r="I41" i="11"/>
  <c r="Q4" i="11"/>
  <c r="L5" i="11"/>
  <c r="G6" i="11"/>
  <c r="H6" i="11" s="1"/>
  <c r="K6" i="11"/>
  <c r="J7" i="11"/>
  <c r="Q8" i="11"/>
  <c r="N10" i="11"/>
  <c r="O10" i="11" s="1"/>
  <c r="AC13" i="11"/>
  <c r="W16" i="11"/>
  <c r="P19" i="11"/>
  <c r="N19" i="11"/>
  <c r="O19" i="11" s="1"/>
  <c r="L20" i="11"/>
  <c r="K20" i="11"/>
  <c r="G20" i="11"/>
  <c r="H20" i="11" s="1"/>
  <c r="I20" i="11"/>
  <c r="J20" i="11"/>
  <c r="Z20" i="11"/>
  <c r="N21" i="11"/>
  <c r="O21" i="11" s="1"/>
  <c r="N23" i="11"/>
  <c r="O23" i="11" s="1"/>
  <c r="N25" i="11"/>
  <c r="O25" i="11" s="1"/>
  <c r="N27" i="11"/>
  <c r="O27" i="11" s="1"/>
  <c r="N29" i="11"/>
  <c r="O29" i="11" s="1"/>
  <c r="N31" i="11"/>
  <c r="O31" i="11" s="1"/>
  <c r="N33" i="11"/>
  <c r="O33" i="11" s="1"/>
  <c r="N35" i="11"/>
  <c r="O35" i="11" s="1"/>
  <c r="N40" i="11"/>
  <c r="O40" i="11" s="1"/>
  <c r="Z45" i="11"/>
  <c r="AC45" i="11"/>
  <c r="G7" i="11"/>
  <c r="H7" i="11" s="1"/>
  <c r="I9" i="11"/>
  <c r="N9" i="11"/>
  <c r="O9" i="11" s="1"/>
  <c r="K13" i="11"/>
  <c r="G13" i="11"/>
  <c r="H13" i="11" s="1"/>
  <c r="L13" i="11"/>
  <c r="N13" i="11"/>
  <c r="O13" i="11" s="1"/>
  <c r="W13" i="11"/>
  <c r="P14" i="11"/>
  <c r="Q14" i="11"/>
  <c r="H16" i="11"/>
  <c r="Z18" i="11"/>
  <c r="Q19" i="11"/>
  <c r="AC19" i="11"/>
  <c r="P20" i="11"/>
  <c r="Q20" i="11"/>
  <c r="P22" i="11"/>
  <c r="Q22" i="11"/>
  <c r="P24" i="11"/>
  <c r="Q24" i="11"/>
  <c r="P26" i="11"/>
  <c r="Q26" i="11"/>
  <c r="P28" i="11"/>
  <c r="Q28" i="11"/>
  <c r="P30" i="11"/>
  <c r="Q30" i="11"/>
  <c r="P32" i="11"/>
  <c r="Q32" i="11"/>
  <c r="P34" i="11"/>
  <c r="Q34" i="11"/>
  <c r="AC37" i="11"/>
  <c r="N11" i="11"/>
  <c r="O11" i="11" s="1"/>
  <c r="K14" i="11"/>
  <c r="G17" i="11"/>
  <c r="H17" i="11" s="1"/>
  <c r="L17" i="11"/>
  <c r="G18" i="11"/>
  <c r="H18" i="11" s="1"/>
  <c r="T20" i="11"/>
  <c r="T21" i="11"/>
  <c r="T22" i="11"/>
  <c r="T23" i="11"/>
  <c r="T24" i="11"/>
  <c r="T25" i="11"/>
  <c r="T26" i="11"/>
  <c r="T27" i="11"/>
  <c r="T28" i="11"/>
  <c r="T29" i="11"/>
  <c r="T30" i="11"/>
  <c r="T31" i="11"/>
  <c r="T32" i="11"/>
  <c r="T33" i="11"/>
  <c r="T34" i="11"/>
  <c r="T35" i="11"/>
  <c r="AF41" i="11"/>
  <c r="Z44" i="11"/>
  <c r="AC44" i="11"/>
  <c r="Z46" i="11"/>
  <c r="AC46" i="11"/>
  <c r="AC48" i="11"/>
  <c r="T51" i="11"/>
  <c r="Z51" i="11"/>
  <c r="K15" i="11"/>
  <c r="G15" i="11"/>
  <c r="H15" i="11" s="1"/>
  <c r="L15" i="11"/>
  <c r="K17" i="11"/>
  <c r="K18" i="11"/>
  <c r="P36" i="11"/>
  <c r="N36" i="11"/>
  <c r="O36" i="11" s="1"/>
  <c r="K37" i="11"/>
  <c r="G37" i="11"/>
  <c r="H37" i="11" s="1"/>
  <c r="J37" i="11"/>
  <c r="I37" i="11"/>
  <c r="T37" i="11"/>
  <c r="Z47" i="11"/>
  <c r="W48" i="11"/>
  <c r="T50" i="11"/>
  <c r="Z50" i="11"/>
  <c r="T44" i="11"/>
  <c r="T45" i="11"/>
  <c r="T46" i="11"/>
  <c r="T47" i="11"/>
  <c r="AF47" i="11"/>
  <c r="AF48" i="11"/>
  <c r="AF49" i="11"/>
  <c r="AF50" i="11"/>
  <c r="AF36" i="11"/>
  <c r="Z37" i="11"/>
  <c r="Z41" i="11"/>
  <c r="AF44" i="11"/>
  <c r="AF45" i="11"/>
  <c r="AF46" i="11"/>
  <c r="N48" i="11"/>
  <c r="O48" i="11" s="1"/>
  <c r="W49" i="11"/>
  <c r="O50" i="11"/>
  <c r="W50" i="11"/>
  <c r="W51" i="11"/>
  <c r="P37" i="11"/>
  <c r="Q38" i="11"/>
  <c r="I39" i="11"/>
  <c r="P41" i="11"/>
  <c r="Q42" i="11"/>
  <c r="I43" i="11"/>
  <c r="AC35" i="10"/>
  <c r="Z36" i="10"/>
  <c r="Z33" i="10"/>
  <c r="Z47" i="10"/>
  <c r="W30" i="10"/>
  <c r="Q23" i="10"/>
  <c r="Q27" i="10"/>
  <c r="N31" i="10"/>
  <c r="O31" i="10" s="1"/>
  <c r="P10" i="10"/>
  <c r="N14" i="10"/>
  <c r="O14" i="10" s="1"/>
  <c r="P15" i="10"/>
  <c r="P18" i="10"/>
  <c r="P23" i="10"/>
  <c r="P27" i="10"/>
  <c r="Q46" i="10"/>
  <c r="Q15" i="10"/>
  <c r="Q19" i="10"/>
  <c r="N35" i="10"/>
  <c r="O35" i="10" s="1"/>
  <c r="N39" i="10"/>
  <c r="O39" i="10" s="1"/>
  <c r="G40" i="10"/>
  <c r="H40" i="10" s="1"/>
  <c r="G44" i="10"/>
  <c r="H44" i="10" s="1"/>
  <c r="I15" i="10"/>
  <c r="J16" i="10"/>
  <c r="J20" i="10"/>
  <c r="J36" i="10"/>
  <c r="K36" i="10"/>
  <c r="K39" i="10"/>
  <c r="G43" i="10"/>
  <c r="H43" i="10" s="1"/>
  <c r="I44" i="10"/>
  <c r="K48" i="10"/>
  <c r="L8" i="10"/>
  <c r="L12" i="10"/>
  <c r="G20" i="10"/>
  <c r="H20" i="10" s="1"/>
  <c r="I36" i="10"/>
  <c r="J6" i="10"/>
  <c r="J14" i="10"/>
  <c r="J17" i="10"/>
  <c r="K17" i="10"/>
  <c r="G17" i="10"/>
  <c r="H17" i="10" s="1"/>
  <c r="K22" i="10"/>
  <c r="G22" i="10"/>
  <c r="H22" i="10" s="1"/>
  <c r="K26" i="10"/>
  <c r="G26" i="10"/>
  <c r="H26" i="10" s="1"/>
  <c r="T33" i="10"/>
  <c r="G6" i="10"/>
  <c r="H6" i="10" s="1"/>
  <c r="K6" i="10"/>
  <c r="G10" i="10"/>
  <c r="H10" i="10" s="1"/>
  <c r="J11" i="10"/>
  <c r="K14" i="10"/>
  <c r="K15" i="10"/>
  <c r="K16" i="10"/>
  <c r="I22" i="10"/>
  <c r="K30" i="10"/>
  <c r="G30" i="10"/>
  <c r="H30" i="10" s="1"/>
  <c r="I30" i="10"/>
  <c r="AC33" i="10"/>
  <c r="G4" i="10"/>
  <c r="K4" i="10"/>
  <c r="N5" i="10"/>
  <c r="O5" i="10" s="1"/>
  <c r="I6" i="10"/>
  <c r="L7" i="10"/>
  <c r="P7" i="10"/>
  <c r="G8" i="10"/>
  <c r="H8" i="10" s="1"/>
  <c r="K8" i="10"/>
  <c r="N9" i="10"/>
  <c r="O9" i="10" s="1"/>
  <c r="I10" i="10"/>
  <c r="L11" i="10"/>
  <c r="P11" i="10"/>
  <c r="G12" i="10"/>
  <c r="H12" i="10" s="1"/>
  <c r="K12" i="10"/>
  <c r="N13" i="10"/>
  <c r="O13" i="10" s="1"/>
  <c r="I14" i="10"/>
  <c r="I16" i="10"/>
  <c r="N16" i="10"/>
  <c r="O16" i="10" s="1"/>
  <c r="L17" i="10"/>
  <c r="K19" i="10"/>
  <c r="L20" i="10"/>
  <c r="I20" i="10"/>
  <c r="AC28" i="10"/>
  <c r="P30" i="10"/>
  <c r="N30" i="10"/>
  <c r="O30" i="10" s="1"/>
  <c r="Z30" i="10"/>
  <c r="P33" i="10"/>
  <c r="N33" i="10"/>
  <c r="O33" i="10" s="1"/>
  <c r="Q33" i="10"/>
  <c r="N43" i="10"/>
  <c r="O43" i="10" s="1"/>
  <c r="P43" i="10"/>
  <c r="Q43" i="10"/>
  <c r="AC44" i="10"/>
  <c r="Q7" i="10"/>
  <c r="J10" i="10"/>
  <c r="Q11" i="10"/>
  <c r="K24" i="10"/>
  <c r="G24" i="10"/>
  <c r="H24" i="10" s="1"/>
  <c r="K28" i="10"/>
  <c r="G28" i="10"/>
  <c r="H28" i="10" s="1"/>
  <c r="I28" i="10"/>
  <c r="AC30" i="10"/>
  <c r="P32" i="10"/>
  <c r="N32" i="10"/>
  <c r="O32" i="10" s="1"/>
  <c r="Q4" i="10"/>
  <c r="J7" i="10"/>
  <c r="Q8" i="10"/>
  <c r="K10" i="10"/>
  <c r="Q12" i="10"/>
  <c r="G14" i="10"/>
  <c r="H14" i="10" s="1"/>
  <c r="P17" i="10"/>
  <c r="G19" i="10"/>
  <c r="H19" i="10" s="1"/>
  <c r="I24" i="10"/>
  <c r="I26" i="10"/>
  <c r="T30" i="10"/>
  <c r="Q32" i="10"/>
  <c r="AC32" i="10"/>
  <c r="W33" i="10"/>
  <c r="K37" i="10"/>
  <c r="G37" i="10"/>
  <c r="H37" i="10" s="1"/>
  <c r="J37" i="10"/>
  <c r="P47" i="10"/>
  <c r="Q47" i="10"/>
  <c r="G7" i="10"/>
  <c r="H7" i="10" s="1"/>
  <c r="G11" i="10"/>
  <c r="H11" i="10" s="1"/>
  <c r="G15" i="10"/>
  <c r="H15" i="10" s="1"/>
  <c r="L15" i="10"/>
  <c r="G16" i="10"/>
  <c r="H16" i="10" s="1"/>
  <c r="I17" i="10"/>
  <c r="Q17" i="10"/>
  <c r="J19" i="10"/>
  <c r="K21" i="10"/>
  <c r="G21" i="10"/>
  <c r="H21" i="10" s="1"/>
  <c r="J22" i="10"/>
  <c r="K23" i="10"/>
  <c r="G23" i="10"/>
  <c r="H23" i="10" s="1"/>
  <c r="J24" i="10"/>
  <c r="K25" i="10"/>
  <c r="G25" i="10"/>
  <c r="H25" i="10" s="1"/>
  <c r="J26" i="10"/>
  <c r="K27" i="10"/>
  <c r="G27" i="10"/>
  <c r="H27" i="10" s="1"/>
  <c r="P28" i="10"/>
  <c r="N28" i="10"/>
  <c r="O28" i="10" s="1"/>
  <c r="J30" i="10"/>
  <c r="AF30" i="10"/>
  <c r="K32" i="10"/>
  <c r="G32" i="10"/>
  <c r="H32" i="10" s="1"/>
  <c r="I32" i="10"/>
  <c r="T32" i="10"/>
  <c r="AF33" i="10"/>
  <c r="I37" i="10"/>
  <c r="I42" i="10"/>
  <c r="G42" i="10"/>
  <c r="H42" i="10" s="1"/>
  <c r="J42" i="10"/>
  <c r="W44" i="10"/>
  <c r="N47" i="10"/>
  <c r="O47" i="10" s="1"/>
  <c r="N18" i="10"/>
  <c r="O18" i="10" s="1"/>
  <c r="N19" i="10"/>
  <c r="O19" i="10" s="1"/>
  <c r="K29" i="10"/>
  <c r="G29" i="10"/>
  <c r="H29" i="10" s="1"/>
  <c r="K31" i="10"/>
  <c r="G31" i="10"/>
  <c r="H31" i="10" s="1"/>
  <c r="AF32" i="10"/>
  <c r="N34" i="10"/>
  <c r="O34" i="10" s="1"/>
  <c r="AC40" i="10"/>
  <c r="T44" i="10"/>
  <c r="W45" i="10"/>
  <c r="AC46" i="10"/>
  <c r="T48" i="10"/>
  <c r="AF48" i="10"/>
  <c r="K41" i="10"/>
  <c r="G41" i="10"/>
  <c r="H41" i="10" s="1"/>
  <c r="J41" i="10"/>
  <c r="Z44" i="10"/>
  <c r="W46" i="10"/>
  <c r="P48" i="10"/>
  <c r="N48" i="10"/>
  <c r="O48" i="10" s="1"/>
  <c r="Q48" i="10"/>
  <c r="P49" i="10"/>
  <c r="N49" i="10"/>
  <c r="O49" i="10" s="1"/>
  <c r="Q49" i="10"/>
  <c r="P50" i="10"/>
  <c r="N50" i="10"/>
  <c r="O50" i="10" s="1"/>
  <c r="Q50" i="10"/>
  <c r="P51" i="10"/>
  <c r="N51" i="10"/>
  <c r="O51" i="10" s="1"/>
  <c r="Q51" i="10"/>
  <c r="G33" i="10"/>
  <c r="H33" i="10" s="1"/>
  <c r="K33" i="10"/>
  <c r="G34" i="10"/>
  <c r="H34" i="10" s="1"/>
  <c r="K34" i="10"/>
  <c r="G35" i="10"/>
  <c r="H35" i="10" s="1"/>
  <c r="K35" i="10"/>
  <c r="AF35" i="10"/>
  <c r="Z37" i="10"/>
  <c r="G38" i="10"/>
  <c r="H38" i="10" s="1"/>
  <c r="P39" i="10"/>
  <c r="N44" i="10"/>
  <c r="O44" i="10" s="1"/>
  <c r="N45" i="10"/>
  <c r="O45" i="10" s="1"/>
  <c r="N46" i="10"/>
  <c r="O46" i="10" s="1"/>
  <c r="T47" i="10"/>
  <c r="AF47" i="10"/>
  <c r="T36" i="10"/>
  <c r="T40" i="10"/>
  <c r="AF44" i="10"/>
  <c r="AF45" i="10"/>
  <c r="AF46" i="10"/>
  <c r="Q38" i="10"/>
  <c r="I39" i="10"/>
  <c r="P41" i="10"/>
  <c r="Q42" i="10"/>
  <c r="I43" i="10"/>
  <c r="J47" i="10"/>
  <c r="J48" i="10"/>
  <c r="G47" i="10"/>
  <c r="H47" i="10" s="1"/>
  <c r="G48" i="10"/>
  <c r="H48" i="10" s="1"/>
  <c r="AC7" i="9"/>
  <c r="AC11" i="9"/>
  <c r="AC15" i="9"/>
  <c r="Z48" i="9"/>
  <c r="Z6" i="9"/>
  <c r="Z14" i="9"/>
  <c r="Z19" i="9"/>
  <c r="Z10" i="9"/>
  <c r="W45" i="9"/>
  <c r="P23" i="9"/>
  <c r="Q6" i="9"/>
  <c r="Q14" i="9"/>
  <c r="N18" i="9"/>
  <c r="O18" i="9" s="1"/>
  <c r="P22" i="9"/>
  <c r="Q38" i="9"/>
  <c r="N46" i="9"/>
  <c r="O46" i="9" s="1"/>
  <c r="P47" i="9"/>
  <c r="P51" i="9"/>
  <c r="I12" i="9"/>
  <c r="J16" i="9"/>
  <c r="J7" i="9"/>
  <c r="J8" i="9"/>
  <c r="L8" i="9"/>
  <c r="K12" i="9"/>
  <c r="I15" i="9"/>
  <c r="G16" i="9"/>
  <c r="H16" i="9" s="1"/>
  <c r="J20" i="9"/>
  <c r="I35" i="9"/>
  <c r="I43" i="9"/>
  <c r="K8" i="9"/>
  <c r="L16" i="9"/>
  <c r="J12" i="9"/>
  <c r="J43" i="9"/>
  <c r="K10" i="9"/>
  <c r="G10" i="9"/>
  <c r="H10" i="9" s="1"/>
  <c r="L10" i="9"/>
  <c r="K14" i="9"/>
  <c r="G14" i="9"/>
  <c r="H14" i="9" s="1"/>
  <c r="L14" i="9"/>
  <c r="Z15" i="9"/>
  <c r="L5" i="9"/>
  <c r="I5" i="9"/>
  <c r="I6" i="9"/>
  <c r="L9" i="9"/>
  <c r="I9" i="9"/>
  <c r="L13" i="9"/>
  <c r="I13" i="9"/>
  <c r="I14" i="9"/>
  <c r="O15" i="9"/>
  <c r="L17" i="9"/>
  <c r="I17" i="9"/>
  <c r="I18" i="9"/>
  <c r="G5" i="9"/>
  <c r="H5" i="9" s="1"/>
  <c r="T6" i="9"/>
  <c r="AF6" i="9"/>
  <c r="P7" i="9"/>
  <c r="W7" i="9"/>
  <c r="G9" i="9"/>
  <c r="H9" i="9" s="1"/>
  <c r="J10" i="9"/>
  <c r="T10" i="9"/>
  <c r="AF10" i="9"/>
  <c r="P11" i="9"/>
  <c r="W11" i="9"/>
  <c r="G13" i="9"/>
  <c r="H13" i="9" s="1"/>
  <c r="J14" i="9"/>
  <c r="T14" i="9"/>
  <c r="AF14" i="9"/>
  <c r="P15" i="9"/>
  <c r="W15" i="9"/>
  <c r="G17" i="9"/>
  <c r="H17" i="9" s="1"/>
  <c r="T18" i="9"/>
  <c r="AF18" i="9"/>
  <c r="Q19" i="9"/>
  <c r="O20" i="9"/>
  <c r="I24" i="9"/>
  <c r="G24" i="9"/>
  <c r="H24" i="9" s="1"/>
  <c r="I25" i="9"/>
  <c r="G25" i="9"/>
  <c r="H25" i="9" s="1"/>
  <c r="I27" i="9"/>
  <c r="G27" i="9"/>
  <c r="H27" i="9" s="1"/>
  <c r="J27" i="9"/>
  <c r="I32" i="9"/>
  <c r="J32" i="9"/>
  <c r="K32" i="9"/>
  <c r="G32" i="9"/>
  <c r="H32" i="9" s="1"/>
  <c r="K44" i="9"/>
  <c r="G44" i="9"/>
  <c r="H44" i="9" s="1"/>
  <c r="I44" i="9"/>
  <c r="J44" i="9"/>
  <c r="K6" i="9"/>
  <c r="G6" i="9"/>
  <c r="H6" i="9" s="1"/>
  <c r="L6" i="9"/>
  <c r="Z11" i="9"/>
  <c r="K18" i="9"/>
  <c r="G18" i="9"/>
  <c r="H18" i="9" s="1"/>
  <c r="L18" i="9"/>
  <c r="O7" i="9"/>
  <c r="I10" i="9"/>
  <c r="O11" i="9"/>
  <c r="N19" i="9"/>
  <c r="O19" i="9" s="1"/>
  <c r="J5" i="9"/>
  <c r="Q7" i="9"/>
  <c r="J9" i="9"/>
  <c r="Q11" i="9"/>
  <c r="J13" i="9"/>
  <c r="Q15" i="9"/>
  <c r="J17" i="9"/>
  <c r="T19" i="9"/>
  <c r="AF19" i="9"/>
  <c r="W20" i="9"/>
  <c r="I28" i="9"/>
  <c r="J28" i="9"/>
  <c r="K28" i="9"/>
  <c r="G28" i="9"/>
  <c r="H28" i="9" s="1"/>
  <c r="T45" i="9"/>
  <c r="T36" i="9"/>
  <c r="Z40" i="9"/>
  <c r="P43" i="9"/>
  <c r="Q43" i="9"/>
  <c r="K47" i="9"/>
  <c r="G47" i="9"/>
  <c r="H47" i="9" s="1"/>
  <c r="J47" i="9"/>
  <c r="K50" i="9"/>
  <c r="G50" i="9"/>
  <c r="H50" i="9" s="1"/>
  <c r="J50" i="9"/>
  <c r="AF51" i="9"/>
  <c r="Q4" i="9"/>
  <c r="G7" i="9"/>
  <c r="H7" i="9" s="1"/>
  <c r="K7" i="9"/>
  <c r="N8" i="9"/>
  <c r="O8" i="9" s="1"/>
  <c r="G11" i="9"/>
  <c r="H11" i="9" s="1"/>
  <c r="K11" i="9"/>
  <c r="N12" i="9"/>
  <c r="O12" i="9" s="1"/>
  <c r="G15" i="9"/>
  <c r="H15" i="9" s="1"/>
  <c r="K15" i="9"/>
  <c r="N16" i="9"/>
  <c r="O16" i="9" s="1"/>
  <c r="G19" i="9"/>
  <c r="H19" i="9" s="1"/>
  <c r="K19" i="9"/>
  <c r="G20" i="9"/>
  <c r="H20" i="9" s="1"/>
  <c r="K20" i="9"/>
  <c r="G26" i="9"/>
  <c r="H26" i="9" s="1"/>
  <c r="G30" i="9"/>
  <c r="H30" i="9" s="1"/>
  <c r="J31" i="9"/>
  <c r="G34" i="9"/>
  <c r="H34" i="9" s="1"/>
  <c r="J35" i="9"/>
  <c r="O36" i="9"/>
  <c r="T39" i="9"/>
  <c r="AC39" i="9"/>
  <c r="AF44" i="9"/>
  <c r="G31" i="9"/>
  <c r="H31" i="9" s="1"/>
  <c r="G35" i="9"/>
  <c r="H35" i="9" s="1"/>
  <c r="G36" i="9"/>
  <c r="H36" i="9" s="1"/>
  <c r="I36" i="9"/>
  <c r="AC36" i="9"/>
  <c r="I37" i="9"/>
  <c r="G37" i="9"/>
  <c r="H37" i="9" s="1"/>
  <c r="J37" i="9"/>
  <c r="W39" i="9"/>
  <c r="P39" i="9"/>
  <c r="N39" i="9"/>
  <c r="O39" i="9" s="1"/>
  <c r="Q39" i="9"/>
  <c r="Z39" i="9"/>
  <c r="K40" i="9"/>
  <c r="G40" i="9"/>
  <c r="H40" i="9" s="1"/>
  <c r="I40" i="9"/>
  <c r="J40" i="9"/>
  <c r="AC40" i="9"/>
  <c r="N42" i="9"/>
  <c r="O42" i="9" s="1"/>
  <c r="Q42" i="9"/>
  <c r="N43" i="9"/>
  <c r="O43" i="9" s="1"/>
  <c r="Z45" i="9"/>
  <c r="I47" i="9"/>
  <c r="K48" i="9"/>
  <c r="G48" i="9"/>
  <c r="H48" i="9" s="1"/>
  <c r="I48" i="9"/>
  <c r="J48" i="9"/>
  <c r="T48" i="9"/>
  <c r="I50" i="9"/>
  <c r="K51" i="9"/>
  <c r="G51" i="9"/>
  <c r="H51" i="9" s="1"/>
  <c r="I51" i="9"/>
  <c r="J51" i="9"/>
  <c r="T51" i="9"/>
  <c r="N26" i="9"/>
  <c r="O26" i="9" s="1"/>
  <c r="N27" i="9"/>
  <c r="O27" i="9" s="1"/>
  <c r="N28" i="9"/>
  <c r="O28" i="9" s="1"/>
  <c r="N29" i="9"/>
  <c r="O29" i="9" s="1"/>
  <c r="N30" i="9"/>
  <c r="O30" i="9" s="1"/>
  <c r="N31" i="9"/>
  <c r="O31" i="9" s="1"/>
  <c r="N32" i="9"/>
  <c r="O32" i="9" s="1"/>
  <c r="N33" i="9"/>
  <c r="O33" i="9" s="1"/>
  <c r="N34" i="9"/>
  <c r="O34" i="9" s="1"/>
  <c r="N35" i="9"/>
  <c r="O35" i="9" s="1"/>
  <c r="P38" i="9"/>
  <c r="T43" i="9"/>
  <c r="AC45" i="9"/>
  <c r="K46" i="9"/>
  <c r="G46" i="9"/>
  <c r="H46" i="9" s="1"/>
  <c r="AC48" i="9"/>
  <c r="K49" i="9"/>
  <c r="G49" i="9"/>
  <c r="H49" i="9" s="1"/>
  <c r="Z36" i="9"/>
  <c r="AC44" i="9"/>
  <c r="K45" i="9"/>
  <c r="G45" i="9"/>
  <c r="H45" i="9" s="1"/>
  <c r="AC51" i="9"/>
  <c r="N37" i="9"/>
  <c r="O37" i="9" s="1"/>
  <c r="K39" i="9"/>
  <c r="N41" i="9"/>
  <c r="O41" i="9" s="1"/>
  <c r="Q44" i="9"/>
  <c r="Q45" i="9"/>
  <c r="Q46" i="9"/>
  <c r="Q47" i="9"/>
  <c r="Q48" i="9"/>
  <c r="Q49" i="9"/>
  <c r="Q50" i="9"/>
  <c r="Q51" i="9"/>
  <c r="Z29" i="8"/>
  <c r="Z50" i="8"/>
  <c r="Q16" i="8"/>
  <c r="N19" i="8"/>
  <c r="O19" i="8" s="1"/>
  <c r="Q28" i="8"/>
  <c r="P35" i="8"/>
  <c r="G8" i="8"/>
  <c r="H8" i="8" s="1"/>
  <c r="J12" i="8"/>
  <c r="L12" i="8"/>
  <c r="K24" i="8"/>
  <c r="K44" i="8"/>
  <c r="G48" i="8"/>
  <c r="H48" i="8" s="1"/>
  <c r="I8" i="8"/>
  <c r="G12" i="8"/>
  <c r="H12" i="8" s="1"/>
  <c r="I15" i="8"/>
  <c r="J16" i="8"/>
  <c r="L16" i="8"/>
  <c r="J19" i="8"/>
  <c r="G23" i="8"/>
  <c r="H23" i="8" s="1"/>
  <c r="J24" i="8"/>
  <c r="G27" i="8"/>
  <c r="H27" i="8" s="1"/>
  <c r="I40" i="8"/>
  <c r="J44" i="8"/>
  <c r="K16" i="8"/>
  <c r="L20" i="8"/>
  <c r="H44" i="8"/>
  <c r="T29" i="8"/>
  <c r="P34" i="8"/>
  <c r="Q34" i="8"/>
  <c r="N34" i="8"/>
  <c r="O34" i="8" s="1"/>
  <c r="P45" i="8"/>
  <c r="N45" i="8"/>
  <c r="O45" i="8" s="1"/>
  <c r="Q45" i="8"/>
  <c r="K6" i="8"/>
  <c r="G6" i="8"/>
  <c r="H6" i="8" s="1"/>
  <c r="L6" i="8"/>
  <c r="N6" i="8"/>
  <c r="O6" i="8" s="1"/>
  <c r="K10" i="8"/>
  <c r="G10" i="8"/>
  <c r="H10" i="8" s="1"/>
  <c r="L10" i="8"/>
  <c r="N10" i="8"/>
  <c r="O10" i="8" s="1"/>
  <c r="K14" i="8"/>
  <c r="G14" i="8"/>
  <c r="H14" i="8" s="1"/>
  <c r="L14" i="8"/>
  <c r="N14" i="8"/>
  <c r="O14" i="8" s="1"/>
  <c r="K18" i="8"/>
  <c r="G18" i="8"/>
  <c r="H18" i="8" s="1"/>
  <c r="L18" i="8"/>
  <c r="N18" i="8"/>
  <c r="O18" i="8" s="1"/>
  <c r="Q20" i="8"/>
  <c r="Q21" i="8"/>
  <c r="Q22" i="8"/>
  <c r="Q23" i="8"/>
  <c r="Q24" i="8"/>
  <c r="Q25" i="8"/>
  <c r="Q26" i="8"/>
  <c r="W29" i="8"/>
  <c r="AC29" i="8"/>
  <c r="T31" i="8"/>
  <c r="AF31" i="8"/>
  <c r="W34" i="8"/>
  <c r="AC35" i="8"/>
  <c r="P47" i="8"/>
  <c r="N47" i="8"/>
  <c r="O47" i="8" s="1"/>
  <c r="Q47" i="8"/>
  <c r="L5" i="8"/>
  <c r="I5" i="8"/>
  <c r="L9" i="8"/>
  <c r="I9" i="8"/>
  <c r="L13" i="8"/>
  <c r="I13" i="8"/>
  <c r="L17" i="8"/>
  <c r="I17" i="8"/>
  <c r="Z20" i="8"/>
  <c r="P46" i="8"/>
  <c r="N46" i="8"/>
  <c r="O46" i="8" s="1"/>
  <c r="Q46" i="8"/>
  <c r="P50" i="8"/>
  <c r="Q50" i="8"/>
  <c r="N50" i="8"/>
  <c r="O50" i="8" s="1"/>
  <c r="G5" i="8"/>
  <c r="H5" i="8" s="1"/>
  <c r="P7" i="8"/>
  <c r="G9" i="8"/>
  <c r="H9" i="8" s="1"/>
  <c r="P11" i="8"/>
  <c r="G13" i="8"/>
  <c r="H13" i="8" s="1"/>
  <c r="P15" i="8"/>
  <c r="G17" i="8"/>
  <c r="H17" i="8" s="1"/>
  <c r="O20" i="8"/>
  <c r="P27" i="8"/>
  <c r="N27" i="8"/>
  <c r="O27" i="8" s="1"/>
  <c r="AF29" i="8"/>
  <c r="W44" i="8"/>
  <c r="AC44" i="8"/>
  <c r="J5" i="8"/>
  <c r="Q7" i="8"/>
  <c r="J9" i="8"/>
  <c r="Q11" i="8"/>
  <c r="J13" i="8"/>
  <c r="Q15" i="8"/>
  <c r="J17" i="8"/>
  <c r="P20" i="8"/>
  <c r="W20" i="8"/>
  <c r="P21" i="8"/>
  <c r="P22" i="8"/>
  <c r="P23" i="8"/>
  <c r="P24" i="8"/>
  <c r="P25" i="8"/>
  <c r="P26" i="8"/>
  <c r="Q27" i="8"/>
  <c r="T34" i="8"/>
  <c r="AC34" i="8"/>
  <c r="I42" i="8"/>
  <c r="G42" i="8"/>
  <c r="H42" i="8" s="1"/>
  <c r="J42" i="8"/>
  <c r="K42" i="8"/>
  <c r="P48" i="8"/>
  <c r="N48" i="8"/>
  <c r="O48" i="8" s="1"/>
  <c r="Q48" i="8"/>
  <c r="K31" i="8"/>
  <c r="G31" i="8"/>
  <c r="H31" i="8" s="1"/>
  <c r="W35" i="8"/>
  <c r="N43" i="8"/>
  <c r="O43" i="8" s="1"/>
  <c r="P43" i="8"/>
  <c r="Q43" i="8"/>
  <c r="AF44" i="8"/>
  <c r="N4" i="8"/>
  <c r="G7" i="8"/>
  <c r="H7" i="8" s="1"/>
  <c r="K7" i="8"/>
  <c r="N8" i="8"/>
  <c r="O8" i="8" s="1"/>
  <c r="G11" i="8"/>
  <c r="H11" i="8" s="1"/>
  <c r="K11" i="8"/>
  <c r="N12" i="8"/>
  <c r="O12" i="8" s="1"/>
  <c r="G15" i="8"/>
  <c r="H15" i="8" s="1"/>
  <c r="K15" i="8"/>
  <c r="N16" i="8"/>
  <c r="O16" i="8" s="1"/>
  <c r="G19" i="8"/>
  <c r="H19" i="8" s="1"/>
  <c r="K19" i="8"/>
  <c r="G20" i="8"/>
  <c r="H20" i="8" s="1"/>
  <c r="K20" i="8"/>
  <c r="K28" i="8"/>
  <c r="G28" i="8"/>
  <c r="H28" i="8" s="1"/>
  <c r="K30" i="8"/>
  <c r="G30" i="8"/>
  <c r="H30" i="8" s="1"/>
  <c r="I31" i="8"/>
  <c r="J32" i="8"/>
  <c r="K32" i="8"/>
  <c r="G32" i="8"/>
  <c r="H32" i="8" s="1"/>
  <c r="N32" i="8"/>
  <c r="O32" i="8" s="1"/>
  <c r="Z34" i="8"/>
  <c r="Z35" i="8"/>
  <c r="Z36" i="8"/>
  <c r="K37" i="8"/>
  <c r="G37" i="8"/>
  <c r="H37" i="8" s="1"/>
  <c r="J37" i="8"/>
  <c r="AC40" i="8"/>
  <c r="T44" i="8"/>
  <c r="T51" i="8"/>
  <c r="K29" i="8"/>
  <c r="G29" i="8"/>
  <c r="H29" i="8" s="1"/>
  <c r="P40" i="8"/>
  <c r="Q40" i="8"/>
  <c r="N29" i="8"/>
  <c r="O29" i="8" s="1"/>
  <c r="N31" i="8"/>
  <c r="O31" i="8" s="1"/>
  <c r="AF34" i="8"/>
  <c r="P36" i="8"/>
  <c r="Q36" i="8"/>
  <c r="N40" i="8"/>
  <c r="O40" i="8" s="1"/>
  <c r="Z40" i="8"/>
  <c r="K41" i="8"/>
  <c r="G41" i="8"/>
  <c r="H41" i="8" s="1"/>
  <c r="J41" i="8"/>
  <c r="Z44" i="8"/>
  <c r="P51" i="8"/>
  <c r="N51" i="8"/>
  <c r="O51" i="8" s="1"/>
  <c r="Q51" i="8"/>
  <c r="G33" i="8"/>
  <c r="H33" i="8" s="1"/>
  <c r="K33" i="8"/>
  <c r="G34" i="8"/>
  <c r="H34" i="8" s="1"/>
  <c r="K34" i="8"/>
  <c r="N35" i="8"/>
  <c r="O35" i="8" s="1"/>
  <c r="T36" i="8"/>
  <c r="Z37" i="8"/>
  <c r="G38" i="8"/>
  <c r="H38" i="8" s="1"/>
  <c r="T40" i="8"/>
  <c r="N44" i="8"/>
  <c r="O44" i="8" s="1"/>
  <c r="T50" i="8"/>
  <c r="AF50" i="8"/>
  <c r="K35" i="8"/>
  <c r="G35" i="8"/>
  <c r="H35" i="8" s="1"/>
  <c r="T35" i="8"/>
  <c r="AF35" i="8"/>
  <c r="J36" i="8"/>
  <c r="Q38" i="8"/>
  <c r="J40" i="8"/>
  <c r="P41" i="8"/>
  <c r="Q42" i="8"/>
  <c r="I43" i="8"/>
  <c r="J49" i="8"/>
  <c r="J50" i="8"/>
  <c r="J51" i="8"/>
  <c r="G36" i="8"/>
  <c r="H36" i="8" s="1"/>
  <c r="G40" i="8"/>
  <c r="H40" i="8" s="1"/>
  <c r="G49" i="8"/>
  <c r="H49" i="8" s="1"/>
  <c r="G50" i="8"/>
  <c r="H50" i="8" s="1"/>
  <c r="G51" i="8"/>
  <c r="H51" i="8" s="1"/>
  <c r="AC6" i="7"/>
  <c r="AC18" i="7"/>
  <c r="AC14" i="7"/>
  <c r="Z17" i="7"/>
  <c r="Z47" i="7"/>
  <c r="N8" i="7"/>
  <c r="O8" i="7" s="1"/>
  <c r="N12" i="7"/>
  <c r="O12" i="7" s="1"/>
  <c r="N16" i="7"/>
  <c r="O16" i="7" s="1"/>
  <c r="Q20" i="7"/>
  <c r="Q36" i="7"/>
  <c r="N40" i="7"/>
  <c r="O40" i="7" s="1"/>
  <c r="Q7" i="7"/>
  <c r="N27" i="7"/>
  <c r="O27" i="7" s="1"/>
  <c r="N31" i="7"/>
  <c r="O31" i="7" s="1"/>
  <c r="Q32" i="7"/>
  <c r="N36" i="7"/>
  <c r="O36" i="7" s="1"/>
  <c r="P48" i="7"/>
  <c r="N51" i="7"/>
  <c r="O51" i="7" s="1"/>
  <c r="P28" i="7"/>
  <c r="J20" i="7"/>
  <c r="L20" i="7"/>
  <c r="J7" i="7"/>
  <c r="L7" i="7"/>
  <c r="G11" i="7"/>
  <c r="H11" i="7" s="1"/>
  <c r="I15" i="7"/>
  <c r="K19" i="7"/>
  <c r="G20" i="7"/>
  <c r="H20" i="7" s="1"/>
  <c r="G23" i="7"/>
  <c r="H23" i="7" s="1"/>
  <c r="K31" i="7"/>
  <c r="K32" i="7"/>
  <c r="K36" i="7"/>
  <c r="J43" i="7"/>
  <c r="I47" i="7"/>
  <c r="Z14" i="7"/>
  <c r="I29" i="7"/>
  <c r="J29" i="7"/>
  <c r="G29" i="7"/>
  <c r="H29" i="7" s="1"/>
  <c r="G4" i="7"/>
  <c r="L8" i="7"/>
  <c r="I8" i="7"/>
  <c r="L12" i="7"/>
  <c r="I12" i="7"/>
  <c r="I13" i="7"/>
  <c r="O14" i="7"/>
  <c r="L16" i="7"/>
  <c r="I16" i="7"/>
  <c r="G22" i="7"/>
  <c r="H22" i="7" s="1"/>
  <c r="G25" i="7"/>
  <c r="H25" i="7" s="1"/>
  <c r="I25" i="7"/>
  <c r="K25" i="7"/>
  <c r="Z32" i="7"/>
  <c r="Z49" i="7"/>
  <c r="T5" i="7"/>
  <c r="AF5" i="7"/>
  <c r="P6" i="7"/>
  <c r="W6" i="7"/>
  <c r="G8" i="7"/>
  <c r="H8" i="7" s="1"/>
  <c r="T9" i="7"/>
  <c r="AF9" i="7"/>
  <c r="P10" i="7"/>
  <c r="W10" i="7"/>
  <c r="G12" i="7"/>
  <c r="H12" i="7" s="1"/>
  <c r="T13" i="7"/>
  <c r="AF13" i="7"/>
  <c r="P14" i="7"/>
  <c r="W14" i="7"/>
  <c r="G16" i="7"/>
  <c r="H16" i="7" s="1"/>
  <c r="T17" i="7"/>
  <c r="AF17" i="7"/>
  <c r="P18" i="7"/>
  <c r="W18" i="7"/>
  <c r="P19" i="7"/>
  <c r="G21" i="7"/>
  <c r="H21" i="7" s="1"/>
  <c r="J22" i="7"/>
  <c r="K23" i="7"/>
  <c r="J25" i="7"/>
  <c r="H28" i="7"/>
  <c r="AF28" i="7"/>
  <c r="T32" i="7"/>
  <c r="AC32" i="7"/>
  <c r="K35" i="7"/>
  <c r="G35" i="7"/>
  <c r="H35" i="7" s="1"/>
  <c r="J35" i="7"/>
  <c r="I35" i="7"/>
  <c r="K48" i="7"/>
  <c r="G48" i="7"/>
  <c r="H48" i="7" s="1"/>
  <c r="J48" i="7"/>
  <c r="I48" i="7"/>
  <c r="L4" i="7"/>
  <c r="I4" i="7"/>
  <c r="K5" i="7"/>
  <c r="G5" i="7"/>
  <c r="H5" i="7" s="1"/>
  <c r="L5" i="7"/>
  <c r="Z6" i="7"/>
  <c r="K9" i="7"/>
  <c r="G9" i="7"/>
  <c r="H9" i="7" s="1"/>
  <c r="L9" i="7"/>
  <c r="Z10" i="7"/>
  <c r="K13" i="7"/>
  <c r="G13" i="7"/>
  <c r="H13" i="7" s="1"/>
  <c r="L13" i="7"/>
  <c r="K17" i="7"/>
  <c r="G17" i="7"/>
  <c r="H17" i="7" s="1"/>
  <c r="L17" i="7"/>
  <c r="Z18" i="7"/>
  <c r="O32" i="7"/>
  <c r="W32" i="7"/>
  <c r="I5" i="7"/>
  <c r="O6" i="7"/>
  <c r="I9" i="7"/>
  <c r="O10" i="7"/>
  <c r="I17" i="7"/>
  <c r="O18" i="7"/>
  <c r="AC28" i="7"/>
  <c r="K29" i="7"/>
  <c r="K33" i="7"/>
  <c r="G33" i="7"/>
  <c r="H33" i="7" s="1"/>
  <c r="J33" i="7"/>
  <c r="I33" i="7"/>
  <c r="K4" i="7"/>
  <c r="Q6" i="7"/>
  <c r="J8" i="7"/>
  <c r="Q10" i="7"/>
  <c r="J12" i="7"/>
  <c r="Q14" i="7"/>
  <c r="J16" i="7"/>
  <c r="Q18" i="7"/>
  <c r="Q19" i="7"/>
  <c r="J21" i="7"/>
  <c r="K22" i="7"/>
  <c r="K24" i="7"/>
  <c r="G24" i="7"/>
  <c r="H24" i="7" s="1"/>
  <c r="I24" i="7"/>
  <c r="W28" i="7"/>
  <c r="AF32" i="7"/>
  <c r="Z45" i="7"/>
  <c r="W45" i="7"/>
  <c r="O45" i="7"/>
  <c r="AF36" i="7"/>
  <c r="T49" i="7"/>
  <c r="O50" i="7"/>
  <c r="G6" i="7"/>
  <c r="H6" i="7" s="1"/>
  <c r="K6" i="7"/>
  <c r="N7" i="7"/>
  <c r="O7" i="7" s="1"/>
  <c r="G10" i="7"/>
  <c r="H10" i="7" s="1"/>
  <c r="K10" i="7"/>
  <c r="N11" i="7"/>
  <c r="O11" i="7" s="1"/>
  <c r="G14" i="7"/>
  <c r="H14" i="7" s="1"/>
  <c r="K14" i="7"/>
  <c r="N15" i="7"/>
  <c r="O15" i="7" s="1"/>
  <c r="G18" i="7"/>
  <c r="H18" i="7" s="1"/>
  <c r="K18" i="7"/>
  <c r="N20" i="7"/>
  <c r="O20" i="7" s="1"/>
  <c r="N21" i="7"/>
  <c r="O21" i="7" s="1"/>
  <c r="N22" i="7"/>
  <c r="O22" i="7" s="1"/>
  <c r="N23" i="7"/>
  <c r="O23" i="7" s="1"/>
  <c r="N24" i="7"/>
  <c r="O24" i="7" s="1"/>
  <c r="N25" i="7"/>
  <c r="O25" i="7" s="1"/>
  <c r="G27" i="7"/>
  <c r="H27" i="7" s="1"/>
  <c r="I28" i="7"/>
  <c r="G31" i="7"/>
  <c r="H31" i="7" s="1"/>
  <c r="I32" i="7"/>
  <c r="N42" i="7"/>
  <c r="O42" i="7" s="1"/>
  <c r="P42" i="7"/>
  <c r="Q42" i="7"/>
  <c r="AC43" i="7"/>
  <c r="K46" i="7"/>
  <c r="G46" i="7"/>
  <c r="H46" i="7" s="1"/>
  <c r="J46" i="7"/>
  <c r="W49" i="7"/>
  <c r="T50" i="7"/>
  <c r="Z50" i="7"/>
  <c r="K51" i="7"/>
  <c r="G51" i="7"/>
  <c r="H51" i="7" s="1"/>
  <c r="J51" i="7"/>
  <c r="K28" i="7"/>
  <c r="P43" i="7"/>
  <c r="Q43" i="7"/>
  <c r="AF45" i="7"/>
  <c r="O47" i="7"/>
  <c r="K49" i="7"/>
  <c r="G49" i="7"/>
  <c r="H49" i="7" s="1"/>
  <c r="I49" i="7"/>
  <c r="J49" i="7"/>
  <c r="AF50" i="7"/>
  <c r="G32" i="7"/>
  <c r="H32" i="7" s="1"/>
  <c r="K34" i="7"/>
  <c r="G34" i="7"/>
  <c r="H34" i="7" s="1"/>
  <c r="T36" i="7"/>
  <c r="I41" i="7"/>
  <c r="G41" i="7"/>
  <c r="H41" i="7" s="1"/>
  <c r="J41" i="7"/>
  <c r="N43" i="7"/>
  <c r="O43" i="7" s="1"/>
  <c r="Z43" i="7"/>
  <c r="K44" i="7"/>
  <c r="G44" i="7"/>
  <c r="H44" i="7" s="1"/>
  <c r="J44" i="7"/>
  <c r="W47" i="7"/>
  <c r="AF47" i="7"/>
  <c r="G36" i="7"/>
  <c r="H36" i="7" s="1"/>
  <c r="Z36" i="7"/>
  <c r="G37" i="7"/>
  <c r="H37" i="7" s="1"/>
  <c r="P38" i="7"/>
  <c r="AC39" i="7"/>
  <c r="K40" i="7"/>
  <c r="G40" i="7"/>
  <c r="H40" i="7" s="1"/>
  <c r="T43" i="7"/>
  <c r="Z40" i="7"/>
  <c r="K45" i="7"/>
  <c r="G45" i="7"/>
  <c r="H45" i="7" s="1"/>
  <c r="K47" i="7"/>
  <c r="G47" i="7"/>
  <c r="H47" i="7" s="1"/>
  <c r="AC49" i="7"/>
  <c r="K50" i="7"/>
  <c r="G50" i="7"/>
  <c r="H50" i="7" s="1"/>
  <c r="N37" i="7"/>
  <c r="O37" i="7" s="1"/>
  <c r="J38" i="7"/>
  <c r="G39" i="7"/>
  <c r="H39" i="7" s="1"/>
  <c r="K39" i="7"/>
  <c r="N41" i="7"/>
  <c r="O41" i="7" s="1"/>
  <c r="J42" i="7"/>
  <c r="G43" i="7"/>
  <c r="H43" i="7" s="1"/>
  <c r="K43" i="7"/>
  <c r="Q44" i="7"/>
  <c r="Q45" i="7"/>
  <c r="Q46" i="7"/>
  <c r="Q47" i="7"/>
  <c r="Q48" i="7"/>
  <c r="Q49" i="7"/>
  <c r="Z23" i="6"/>
  <c r="P15" i="6"/>
  <c r="P19" i="6"/>
  <c r="P47" i="6"/>
  <c r="N51" i="6"/>
  <c r="O51" i="6" s="1"/>
  <c r="N7" i="6"/>
  <c r="O7" i="6" s="1"/>
  <c r="N11" i="6"/>
  <c r="O11" i="6" s="1"/>
  <c r="P18" i="6"/>
  <c r="N22" i="6"/>
  <c r="O22" i="6" s="1"/>
  <c r="N26" i="6"/>
  <c r="O26" i="6" s="1"/>
  <c r="Q39" i="6"/>
  <c r="N43" i="6"/>
  <c r="O43" i="6" s="1"/>
  <c r="N47" i="6"/>
  <c r="O47" i="6" s="1"/>
  <c r="I51" i="6"/>
  <c r="J6" i="6"/>
  <c r="L6" i="6"/>
  <c r="J10" i="6"/>
  <c r="L10" i="6"/>
  <c r="J14" i="6"/>
  <c r="L14" i="6"/>
  <c r="J26" i="6"/>
  <c r="J43" i="6"/>
  <c r="I47" i="6"/>
  <c r="J51" i="6"/>
  <c r="K51" i="6"/>
  <c r="J47" i="6"/>
  <c r="Q4" i="6"/>
  <c r="J7" i="6"/>
  <c r="J11" i="6"/>
  <c r="K16" i="6"/>
  <c r="G16" i="6"/>
  <c r="H16" i="6" s="1"/>
  <c r="K19" i="6"/>
  <c r="G19" i="6"/>
  <c r="H19" i="6" s="1"/>
  <c r="K31" i="6"/>
  <c r="G31" i="6"/>
  <c r="H31" i="6" s="1"/>
  <c r="I31" i="6"/>
  <c r="N37" i="6"/>
  <c r="O37" i="6" s="1"/>
  <c r="Q37" i="6"/>
  <c r="J4" i="6"/>
  <c r="N4" i="6"/>
  <c r="K7" i="6"/>
  <c r="K11" i="6"/>
  <c r="N12" i="6"/>
  <c r="O12" i="6" s="1"/>
  <c r="Q13" i="6"/>
  <c r="L18" i="6"/>
  <c r="I18" i="6"/>
  <c r="J31" i="6"/>
  <c r="Z33" i="6"/>
  <c r="P37" i="6"/>
  <c r="L4" i="6"/>
  <c r="G5" i="6"/>
  <c r="H5" i="6" s="1"/>
  <c r="K5" i="6"/>
  <c r="N6" i="6"/>
  <c r="O6" i="6" s="1"/>
  <c r="I7" i="6"/>
  <c r="L8" i="6"/>
  <c r="P8" i="6"/>
  <c r="G9" i="6"/>
  <c r="H9" i="6" s="1"/>
  <c r="K9" i="6"/>
  <c r="N10" i="6"/>
  <c r="O10" i="6" s="1"/>
  <c r="I11" i="6"/>
  <c r="L12" i="6"/>
  <c r="P12" i="6"/>
  <c r="G13" i="6"/>
  <c r="H13" i="6" s="1"/>
  <c r="K13" i="6"/>
  <c r="N14" i="6"/>
  <c r="O14" i="6" s="1"/>
  <c r="I15" i="6"/>
  <c r="N15" i="6"/>
  <c r="O15" i="6" s="1"/>
  <c r="J16" i="6"/>
  <c r="P16" i="6"/>
  <c r="P17" i="6"/>
  <c r="J18" i="6"/>
  <c r="Q20" i="6"/>
  <c r="N21" i="6"/>
  <c r="O21" i="6" s="1"/>
  <c r="T23" i="6"/>
  <c r="AF23" i="6"/>
  <c r="Q24" i="6"/>
  <c r="N25" i="6"/>
  <c r="O25" i="6" s="1"/>
  <c r="AF27" i="6"/>
  <c r="K29" i="6"/>
  <c r="G29" i="6"/>
  <c r="H29" i="6" s="1"/>
  <c r="I29" i="6"/>
  <c r="T29" i="6"/>
  <c r="AC31" i="6"/>
  <c r="T33" i="6"/>
  <c r="AC33" i="6"/>
  <c r="I34" i="6"/>
  <c r="G34" i="6"/>
  <c r="H34" i="6" s="1"/>
  <c r="J34" i="6"/>
  <c r="P42" i="6"/>
  <c r="Q42" i="6"/>
  <c r="N42" i="6"/>
  <c r="O42" i="6" s="1"/>
  <c r="Q8" i="6"/>
  <c r="P27" i="6"/>
  <c r="N27" i="6"/>
  <c r="O27" i="6" s="1"/>
  <c r="Q5" i="6"/>
  <c r="G7" i="6"/>
  <c r="H7" i="6" s="1"/>
  <c r="J8" i="6"/>
  <c r="Q9" i="6"/>
  <c r="G11" i="6"/>
  <c r="H11" i="6" s="1"/>
  <c r="J12" i="6"/>
  <c r="K15" i="6"/>
  <c r="I19" i="6"/>
  <c r="N23" i="6"/>
  <c r="O23" i="6" s="1"/>
  <c r="Q27" i="6"/>
  <c r="AC27" i="6"/>
  <c r="P29" i="6"/>
  <c r="N29" i="6"/>
  <c r="O29" i="6" s="1"/>
  <c r="I33" i="6"/>
  <c r="G33" i="6"/>
  <c r="H33" i="6" s="1"/>
  <c r="J33" i="6"/>
  <c r="I46" i="6"/>
  <c r="J46" i="6"/>
  <c r="G46" i="6"/>
  <c r="H46" i="6" s="1"/>
  <c r="K46" i="6"/>
  <c r="G4" i="6"/>
  <c r="G8" i="6"/>
  <c r="H8" i="6" s="1"/>
  <c r="G12" i="6"/>
  <c r="H12" i="6" s="1"/>
  <c r="G15" i="6"/>
  <c r="H15" i="6" s="1"/>
  <c r="I16" i="6"/>
  <c r="Z17" i="6"/>
  <c r="G18" i="6"/>
  <c r="H18" i="6" s="1"/>
  <c r="J19" i="6"/>
  <c r="K20" i="6"/>
  <c r="G20" i="6"/>
  <c r="H20" i="6" s="1"/>
  <c r="L20" i="6"/>
  <c r="N20" i="6"/>
  <c r="O20" i="6" s="1"/>
  <c r="Q23" i="6"/>
  <c r="N24" i="6"/>
  <c r="O24" i="6" s="1"/>
  <c r="AF25" i="6"/>
  <c r="K27" i="6"/>
  <c r="G27" i="6"/>
  <c r="H27" i="6" s="1"/>
  <c r="I27" i="6"/>
  <c r="T27" i="6"/>
  <c r="Q29" i="6"/>
  <c r="AC29" i="6"/>
  <c r="P31" i="6"/>
  <c r="N31" i="6"/>
  <c r="O31" i="6" s="1"/>
  <c r="K33" i="6"/>
  <c r="I35" i="6"/>
  <c r="J35" i="6"/>
  <c r="K35" i="6"/>
  <c r="I50" i="6"/>
  <c r="J50" i="6"/>
  <c r="G50" i="6"/>
  <c r="H50" i="6" s="1"/>
  <c r="K50" i="6"/>
  <c r="G21" i="6"/>
  <c r="H21" i="6" s="1"/>
  <c r="K21" i="6"/>
  <c r="G22" i="6"/>
  <c r="H22" i="6" s="1"/>
  <c r="K22" i="6"/>
  <c r="G23" i="6"/>
  <c r="H23" i="6" s="1"/>
  <c r="K23" i="6"/>
  <c r="G24" i="6"/>
  <c r="H24" i="6" s="1"/>
  <c r="K24" i="6"/>
  <c r="G25" i="6"/>
  <c r="H25" i="6" s="1"/>
  <c r="K25" i="6"/>
  <c r="K26" i="6"/>
  <c r="G26" i="6"/>
  <c r="H26" i="6" s="1"/>
  <c r="K28" i="6"/>
  <c r="G28" i="6"/>
  <c r="H28" i="6" s="1"/>
  <c r="K30" i="6"/>
  <c r="G30" i="6"/>
  <c r="H30" i="6" s="1"/>
  <c r="K32" i="6"/>
  <c r="G32" i="6"/>
  <c r="H32" i="6" s="1"/>
  <c r="T38" i="6"/>
  <c r="AC38" i="6"/>
  <c r="K39" i="6"/>
  <c r="G39" i="6"/>
  <c r="H39" i="6" s="1"/>
  <c r="J39" i="6"/>
  <c r="I39" i="6"/>
  <c r="AC39" i="6"/>
  <c r="N41" i="6"/>
  <c r="O41" i="6" s="1"/>
  <c r="Q41" i="6"/>
  <c r="Z43" i="6"/>
  <c r="I49" i="6"/>
  <c r="K49" i="6"/>
  <c r="J49" i="6"/>
  <c r="AF33" i="6"/>
  <c r="P38" i="6"/>
  <c r="Q38" i="6"/>
  <c r="N38" i="6"/>
  <c r="O38" i="6" s="1"/>
  <c r="Z39" i="6"/>
  <c r="T42" i="6"/>
  <c r="Z42" i="6"/>
  <c r="W43" i="6"/>
  <c r="K36" i="6"/>
  <c r="K40" i="6"/>
  <c r="AC42" i="6"/>
  <c r="K43" i="6"/>
  <c r="G43" i="6"/>
  <c r="H43" i="6" s="1"/>
  <c r="K44" i="6"/>
  <c r="K48" i="6"/>
  <c r="AF38" i="6"/>
  <c r="Q35" i="6"/>
  <c r="Q36" i="6"/>
  <c r="J38" i="6"/>
  <c r="Q40" i="6"/>
  <c r="J42" i="6"/>
  <c r="P43" i="6"/>
  <c r="Q44" i="6"/>
  <c r="Q45" i="6"/>
  <c r="G38" i="6"/>
  <c r="H38" i="6" s="1"/>
  <c r="G42" i="6"/>
  <c r="H42" i="6" s="1"/>
  <c r="AF31" i="5"/>
  <c r="AC22" i="5"/>
  <c r="AC23" i="5"/>
  <c r="AC24" i="5"/>
  <c r="Z45" i="5"/>
  <c r="Z49" i="5"/>
  <c r="Q32" i="5"/>
  <c r="P48" i="5"/>
  <c r="N7" i="5"/>
  <c r="O7" i="5" s="1"/>
  <c r="N12" i="5"/>
  <c r="O12" i="5" s="1"/>
  <c r="Q36" i="5"/>
  <c r="P39" i="5"/>
  <c r="N40" i="5"/>
  <c r="O40" i="5" s="1"/>
  <c r="Q8" i="5"/>
  <c r="P12" i="5"/>
  <c r="P36" i="5"/>
  <c r="J40" i="5"/>
  <c r="I24" i="5"/>
  <c r="G16" i="5"/>
  <c r="H16" i="5" s="1"/>
  <c r="J19" i="5"/>
  <c r="G23" i="5"/>
  <c r="H23" i="5" s="1"/>
  <c r="I31" i="5"/>
  <c r="I39" i="5"/>
  <c r="I23" i="5"/>
  <c r="I32" i="5"/>
  <c r="I28" i="5"/>
  <c r="G24" i="5"/>
  <c r="H24" i="5" s="1"/>
  <c r="J32" i="5"/>
  <c r="J36" i="5"/>
  <c r="I16" i="5"/>
  <c r="I27" i="5"/>
  <c r="J28" i="5"/>
  <c r="K31" i="5"/>
  <c r="G32" i="5"/>
  <c r="H32" i="5" s="1"/>
  <c r="I44" i="5"/>
  <c r="K28" i="5"/>
  <c r="J16" i="5"/>
  <c r="L8" i="5"/>
  <c r="K8" i="5"/>
  <c r="G8" i="5"/>
  <c r="H8" i="5" s="1"/>
  <c r="Z9" i="5"/>
  <c r="L12" i="5"/>
  <c r="K12" i="5"/>
  <c r="G12" i="5"/>
  <c r="H12" i="5" s="1"/>
  <c r="Z13" i="5"/>
  <c r="K20" i="5"/>
  <c r="G20" i="5"/>
  <c r="H20" i="5" s="1"/>
  <c r="J20" i="5"/>
  <c r="I20" i="5"/>
  <c r="P21" i="5"/>
  <c r="Q21" i="5"/>
  <c r="P23" i="5"/>
  <c r="Q23" i="5"/>
  <c r="P25" i="5"/>
  <c r="Q25" i="5"/>
  <c r="K5" i="5"/>
  <c r="G5" i="5"/>
  <c r="H5" i="5" s="1"/>
  <c r="L5" i="5"/>
  <c r="I7" i="5"/>
  <c r="L7" i="5"/>
  <c r="I8" i="5"/>
  <c r="O9" i="5"/>
  <c r="I11" i="5"/>
  <c r="L11" i="5"/>
  <c r="I12" i="5"/>
  <c r="O13" i="5"/>
  <c r="I15" i="5"/>
  <c r="L15" i="5"/>
  <c r="N21" i="5"/>
  <c r="O21" i="5" s="1"/>
  <c r="N23" i="5"/>
  <c r="O23" i="5" s="1"/>
  <c r="N25" i="5"/>
  <c r="O25" i="5" s="1"/>
  <c r="P27" i="5"/>
  <c r="N27" i="5"/>
  <c r="O27" i="5" s="1"/>
  <c r="Q27" i="5"/>
  <c r="K4" i="5"/>
  <c r="G7" i="5"/>
  <c r="H7" i="5" s="1"/>
  <c r="J8" i="5"/>
  <c r="P9" i="5"/>
  <c r="W9" i="5"/>
  <c r="G11" i="5"/>
  <c r="H11" i="5" s="1"/>
  <c r="J12" i="5"/>
  <c r="P13" i="5"/>
  <c r="W13" i="5"/>
  <c r="G15" i="5"/>
  <c r="H15" i="5" s="1"/>
  <c r="N16" i="5"/>
  <c r="O16" i="5" s="1"/>
  <c r="Q16" i="5"/>
  <c r="P16" i="5"/>
  <c r="L20" i="5"/>
  <c r="P22" i="5"/>
  <c r="Q22" i="5"/>
  <c r="P24" i="5"/>
  <c r="Q24" i="5"/>
  <c r="G4" i="5"/>
  <c r="I5" i="5"/>
  <c r="J7" i="5"/>
  <c r="Q9" i="5"/>
  <c r="J11" i="5"/>
  <c r="Q13" i="5"/>
  <c r="J15" i="5"/>
  <c r="P18" i="5"/>
  <c r="Q18" i="5"/>
  <c r="P20" i="5"/>
  <c r="N20" i="5"/>
  <c r="O20" i="5" s="1"/>
  <c r="N22" i="5"/>
  <c r="O22" i="5" s="1"/>
  <c r="N24" i="5"/>
  <c r="O24" i="5" s="1"/>
  <c r="AC26" i="5"/>
  <c r="T26" i="5"/>
  <c r="Z26" i="5"/>
  <c r="AF26" i="5"/>
  <c r="T29" i="5"/>
  <c r="J9" i="5"/>
  <c r="Q10" i="5"/>
  <c r="J13" i="5"/>
  <c r="Q14" i="5"/>
  <c r="K19" i="5"/>
  <c r="G19" i="5"/>
  <c r="H19" i="5" s="1"/>
  <c r="Q28" i="5"/>
  <c r="P28" i="5"/>
  <c r="AF29" i="5"/>
  <c r="I41" i="5"/>
  <c r="G41" i="5"/>
  <c r="H41" i="5" s="1"/>
  <c r="J41" i="5"/>
  <c r="K41" i="5"/>
  <c r="G9" i="5"/>
  <c r="H9" i="5" s="1"/>
  <c r="G13" i="5"/>
  <c r="H13" i="5" s="1"/>
  <c r="K17" i="5"/>
  <c r="K18" i="5"/>
  <c r="N19" i="5"/>
  <c r="O19" i="5" s="1"/>
  <c r="T21" i="5"/>
  <c r="T22" i="5"/>
  <c r="T23" i="5"/>
  <c r="T24" i="5"/>
  <c r="T25" i="5"/>
  <c r="N28" i="5"/>
  <c r="O28" i="5" s="1"/>
  <c r="W29" i="5"/>
  <c r="AC30" i="5"/>
  <c r="T30" i="5"/>
  <c r="H30" i="5"/>
  <c r="P31" i="5"/>
  <c r="N31" i="5"/>
  <c r="O31" i="5" s="1"/>
  <c r="T36" i="5"/>
  <c r="K47" i="5"/>
  <c r="G47" i="5"/>
  <c r="H47" i="5" s="1"/>
  <c r="J47" i="5"/>
  <c r="AF48" i="5"/>
  <c r="K50" i="5"/>
  <c r="G50" i="5"/>
  <c r="H50" i="5" s="1"/>
  <c r="J50" i="5"/>
  <c r="AF51" i="5"/>
  <c r="O26" i="5"/>
  <c r="O30" i="5"/>
  <c r="G36" i="5"/>
  <c r="H36" i="5" s="1"/>
  <c r="I36" i="5"/>
  <c r="I37" i="5"/>
  <c r="G37" i="5"/>
  <c r="H37" i="5" s="1"/>
  <c r="J37" i="5"/>
  <c r="K45" i="5"/>
  <c r="G45" i="5"/>
  <c r="H45" i="5" s="1"/>
  <c r="I45" i="5"/>
  <c r="J45" i="5"/>
  <c r="K48" i="5"/>
  <c r="G48" i="5"/>
  <c r="H48" i="5" s="1"/>
  <c r="I48" i="5"/>
  <c r="J48" i="5"/>
  <c r="O49" i="5"/>
  <c r="AC49" i="5"/>
  <c r="I50" i="5"/>
  <c r="K51" i="5"/>
  <c r="G51" i="5"/>
  <c r="H51" i="5" s="1"/>
  <c r="I51" i="5"/>
  <c r="J51" i="5"/>
  <c r="T51" i="5"/>
  <c r="P38" i="5"/>
  <c r="AC39" i="5"/>
  <c r="K40" i="5"/>
  <c r="G40" i="5"/>
  <c r="H40" i="5" s="1"/>
  <c r="P42" i="5"/>
  <c r="AC43" i="5"/>
  <c r="K44" i="5"/>
  <c r="G44" i="5"/>
  <c r="H44" i="5" s="1"/>
  <c r="AC45" i="5"/>
  <c r="K46" i="5"/>
  <c r="G46" i="5"/>
  <c r="H46" i="5" s="1"/>
  <c r="Z36" i="5"/>
  <c r="Z40" i="5"/>
  <c r="AC48" i="5"/>
  <c r="K49" i="5"/>
  <c r="G49" i="5"/>
  <c r="H49" i="5" s="1"/>
  <c r="AC51" i="5"/>
  <c r="N37" i="5"/>
  <c r="O37" i="5" s="1"/>
  <c r="G39" i="5"/>
  <c r="H39" i="5" s="1"/>
  <c r="K39" i="5"/>
  <c r="N41" i="5"/>
  <c r="O41" i="5" s="1"/>
  <c r="G43" i="5"/>
  <c r="H43" i="5" s="1"/>
  <c r="K43" i="5"/>
  <c r="Q44" i="5"/>
  <c r="Q45" i="5"/>
  <c r="Q46" i="5"/>
  <c r="Q47" i="5"/>
  <c r="Q48" i="5"/>
  <c r="Q49" i="5"/>
  <c r="Q50" i="5"/>
  <c r="Q51" i="5"/>
  <c r="AF20" i="3"/>
  <c r="AF11" i="3"/>
  <c r="AC7" i="3"/>
  <c r="W27" i="3"/>
  <c r="T15" i="3"/>
  <c r="P19" i="3"/>
  <c r="P35" i="3"/>
  <c r="N39" i="3"/>
  <c r="O39" i="3" s="1"/>
  <c r="Q47" i="3"/>
  <c r="P7" i="3"/>
  <c r="P11" i="3"/>
  <c r="Q19" i="3"/>
  <c r="N23" i="3"/>
  <c r="O23" i="3" s="1"/>
  <c r="P27" i="3"/>
  <c r="P30" i="3"/>
  <c r="Q31" i="3"/>
  <c r="Q34" i="3"/>
  <c r="N35" i="3"/>
  <c r="O35" i="3" s="1"/>
  <c r="N38" i="3"/>
  <c r="O38" i="3" s="1"/>
  <c r="P42" i="3"/>
  <c r="Q43" i="3"/>
  <c r="P46" i="3"/>
  <c r="P47" i="3"/>
  <c r="N50" i="3"/>
  <c r="O50" i="3" s="1"/>
  <c r="N51" i="3"/>
  <c r="O51" i="3" s="1"/>
  <c r="Q27" i="3"/>
  <c r="O28" i="3"/>
  <c r="K15" i="3"/>
  <c r="G19" i="3"/>
  <c r="H19" i="3" s="1"/>
  <c r="G23" i="3"/>
  <c r="H23" i="3" s="1"/>
  <c r="J39" i="3"/>
  <c r="G47" i="3"/>
  <c r="H47" i="3" s="1"/>
  <c r="K7" i="3"/>
  <c r="G11" i="3"/>
  <c r="H11" i="3" s="1"/>
  <c r="K19" i="3"/>
  <c r="I22" i="3"/>
  <c r="K30" i="3"/>
  <c r="K38" i="3"/>
  <c r="I39" i="3"/>
  <c r="K42" i="3"/>
  <c r="I43" i="3"/>
  <c r="I46" i="3"/>
  <c r="K47" i="3"/>
  <c r="J50" i="3"/>
  <c r="G51" i="3"/>
  <c r="H51" i="3" s="1"/>
  <c r="G7" i="3"/>
  <c r="K11" i="3"/>
  <c r="J15" i="3"/>
  <c r="J43" i="3"/>
  <c r="K51" i="3"/>
  <c r="J11" i="3"/>
  <c r="G15" i="3"/>
  <c r="H15" i="3" s="1"/>
  <c r="L9" i="3"/>
  <c r="I9" i="3"/>
  <c r="Z14" i="3"/>
  <c r="T20" i="3"/>
  <c r="I31" i="3"/>
  <c r="J31" i="3"/>
  <c r="K31" i="3"/>
  <c r="I35" i="3"/>
  <c r="J35" i="3"/>
  <c r="K35" i="3"/>
  <c r="W37" i="3"/>
  <c r="AF37" i="3"/>
  <c r="Z37" i="3"/>
  <c r="Q4" i="3"/>
  <c r="N5" i="3"/>
  <c r="O5" i="3" s="1"/>
  <c r="K14" i="3"/>
  <c r="G14" i="3"/>
  <c r="H14" i="3" s="1"/>
  <c r="L14" i="3"/>
  <c r="N14" i="3"/>
  <c r="O14" i="3" s="1"/>
  <c r="G17" i="3"/>
  <c r="H17" i="3" s="1"/>
  <c r="T19" i="3"/>
  <c r="AC19" i="3"/>
  <c r="W20" i="3"/>
  <c r="K5" i="3"/>
  <c r="Q5" i="3"/>
  <c r="H7" i="3"/>
  <c r="W7" i="3"/>
  <c r="AF7" i="3"/>
  <c r="K9" i="3"/>
  <c r="K10" i="3"/>
  <c r="G10" i="3"/>
  <c r="H10" i="3" s="1"/>
  <c r="L10" i="3"/>
  <c r="Z11" i="3"/>
  <c r="J14" i="3"/>
  <c r="T14" i="3"/>
  <c r="Q15" i="3"/>
  <c r="K18" i="3"/>
  <c r="G18" i="3"/>
  <c r="H18" i="3" s="1"/>
  <c r="L18" i="3"/>
  <c r="O19" i="3"/>
  <c r="W19" i="3"/>
  <c r="H20" i="3"/>
  <c r="O20" i="3"/>
  <c r="Z20" i="3"/>
  <c r="Q22" i="3"/>
  <c r="Q26" i="3"/>
  <c r="O27" i="3"/>
  <c r="T27" i="3"/>
  <c r="Z27" i="3"/>
  <c r="AF27" i="3"/>
  <c r="N36" i="3"/>
  <c r="O36" i="3" s="1"/>
  <c r="P36" i="3"/>
  <c r="T48" i="3"/>
  <c r="Z50" i="3"/>
  <c r="O7" i="3"/>
  <c r="T11" i="3"/>
  <c r="AF14" i="3"/>
  <c r="L17" i="3"/>
  <c r="I17" i="3"/>
  <c r="T37" i="3"/>
  <c r="W41" i="3"/>
  <c r="AF41" i="3"/>
  <c r="Z41" i="3"/>
  <c r="T50" i="3"/>
  <c r="G9" i="3"/>
  <c r="H9" i="3" s="1"/>
  <c r="W11" i="3"/>
  <c r="P21" i="3"/>
  <c r="P25" i="3"/>
  <c r="I28" i="3"/>
  <c r="J28" i="3"/>
  <c r="G31" i="3"/>
  <c r="H31" i="3" s="1"/>
  <c r="G35" i="3"/>
  <c r="H35" i="3" s="1"/>
  <c r="W38" i="3"/>
  <c r="AF38" i="3"/>
  <c r="Z38" i="3"/>
  <c r="T38" i="3"/>
  <c r="W42" i="3"/>
  <c r="AF42" i="3"/>
  <c r="Z42" i="3"/>
  <c r="T42" i="3"/>
  <c r="J5" i="3"/>
  <c r="K6" i="3"/>
  <c r="G6" i="3"/>
  <c r="H6" i="3" s="1"/>
  <c r="L6" i="3"/>
  <c r="Q7" i="3"/>
  <c r="I8" i="3"/>
  <c r="J8" i="3"/>
  <c r="L8" i="3"/>
  <c r="J9" i="3"/>
  <c r="AF10" i="3"/>
  <c r="L13" i="3"/>
  <c r="I13" i="3"/>
  <c r="I14" i="3"/>
  <c r="Q14" i="3"/>
  <c r="P15" i="3"/>
  <c r="J17" i="3"/>
  <c r="AF18" i="3"/>
  <c r="AF19" i="3"/>
  <c r="Q21" i="3"/>
  <c r="P22" i="3"/>
  <c r="Q25" i="3"/>
  <c r="P26" i="3"/>
  <c r="G27" i="3"/>
  <c r="H27" i="3" s="1"/>
  <c r="I27" i="3"/>
  <c r="G28" i="3"/>
  <c r="H28" i="3" s="1"/>
  <c r="Z30" i="3"/>
  <c r="AF30" i="3"/>
  <c r="I32" i="3"/>
  <c r="G32" i="3"/>
  <c r="H32" i="3" s="1"/>
  <c r="J32" i="3"/>
  <c r="J36" i="3"/>
  <c r="I36" i="3"/>
  <c r="G36" i="3"/>
  <c r="H36" i="3" s="1"/>
  <c r="K36" i="3"/>
  <c r="Q9" i="3"/>
  <c r="J12" i="3"/>
  <c r="Q13" i="3"/>
  <c r="J16" i="3"/>
  <c r="Q17" i="3"/>
  <c r="J21" i="3"/>
  <c r="J22" i="3"/>
  <c r="J23" i="3"/>
  <c r="J24" i="3"/>
  <c r="J25" i="3"/>
  <c r="J26" i="3"/>
  <c r="AC27" i="3"/>
  <c r="K29" i="3"/>
  <c r="H30" i="3"/>
  <c r="AC30" i="3"/>
  <c r="T39" i="3"/>
  <c r="T43" i="3"/>
  <c r="T46" i="3"/>
  <c r="Z48" i="3"/>
  <c r="W50" i="3"/>
  <c r="AF50" i="3"/>
  <c r="K34" i="3"/>
  <c r="T40" i="3"/>
  <c r="T44" i="3"/>
  <c r="Z46" i="3"/>
  <c r="W48" i="3"/>
  <c r="AF48" i="3"/>
  <c r="AC50" i="3"/>
  <c r="H37" i="3"/>
  <c r="O37" i="3"/>
  <c r="H38" i="3"/>
  <c r="O40" i="3"/>
  <c r="O41" i="3"/>
  <c r="H42" i="3"/>
  <c r="O42" i="3"/>
  <c r="O43" i="3"/>
  <c r="H44" i="3"/>
  <c r="O44" i="3"/>
  <c r="H46" i="3"/>
  <c r="O46" i="3"/>
  <c r="H48" i="3"/>
  <c r="H50" i="3"/>
  <c r="AC36" i="3"/>
  <c r="AC37" i="3"/>
  <c r="AC38" i="3"/>
  <c r="AC39" i="3"/>
  <c r="AC40" i="3"/>
  <c r="AC41" i="3"/>
  <c r="AC42" i="3"/>
  <c r="AC43" i="3"/>
  <c r="W45" i="3"/>
  <c r="AC45" i="3"/>
  <c r="W47" i="3"/>
  <c r="AC47" i="3"/>
  <c r="AC49" i="3"/>
  <c r="J23" i="2"/>
  <c r="E5" i="2"/>
  <c r="AF5" i="2" s="1"/>
  <c r="E6" i="2"/>
  <c r="AF6" i="2" s="1"/>
  <c r="E7" i="2"/>
  <c r="AF7" i="2" s="1"/>
  <c r="E8" i="2"/>
  <c r="AF8" i="2" s="1"/>
  <c r="E9" i="2"/>
  <c r="AF9" i="2" s="1"/>
  <c r="E10" i="2"/>
  <c r="AF10" i="2" s="1"/>
  <c r="E11" i="2"/>
  <c r="AF11" i="2" s="1"/>
  <c r="E12" i="2"/>
  <c r="AF12" i="2" s="1"/>
  <c r="E13" i="2"/>
  <c r="AF13" i="2" s="1"/>
  <c r="E14" i="2"/>
  <c r="AF14" i="2" s="1"/>
  <c r="E15" i="2"/>
  <c r="AF15" i="2" s="1"/>
  <c r="E16" i="2"/>
  <c r="AF16" i="2" s="1"/>
  <c r="E17" i="2"/>
  <c r="AF17" i="2" s="1"/>
  <c r="E18" i="2"/>
  <c r="AF18" i="2" s="1"/>
  <c r="E19" i="2"/>
  <c r="AF19" i="2" s="1"/>
  <c r="E20" i="2"/>
  <c r="AF20" i="2" s="1"/>
  <c r="E21" i="2"/>
  <c r="AF21" i="2" s="1"/>
  <c r="E22" i="2"/>
  <c r="AF22" i="2" s="1"/>
  <c r="E23" i="2"/>
  <c r="AF23" i="2" s="1"/>
  <c r="E24" i="2"/>
  <c r="AF24" i="2" s="1"/>
  <c r="E25" i="2"/>
  <c r="AF25" i="2" s="1"/>
  <c r="E26" i="2"/>
  <c r="AF26" i="2" s="1"/>
  <c r="E27" i="2"/>
  <c r="AF27" i="2" s="1"/>
  <c r="E28" i="2"/>
  <c r="AF28" i="2" s="1"/>
  <c r="E29" i="2"/>
  <c r="AF29" i="2" s="1"/>
  <c r="E30" i="2"/>
  <c r="AF30" i="2" s="1"/>
  <c r="E31" i="2"/>
  <c r="AF31" i="2" s="1"/>
  <c r="E32" i="2"/>
  <c r="AF32" i="2" s="1"/>
  <c r="E33" i="2"/>
  <c r="AF33" i="2" s="1"/>
  <c r="E34" i="2"/>
  <c r="AF34" i="2" s="1"/>
  <c r="E35" i="2"/>
  <c r="AF35" i="2" s="1"/>
  <c r="E36" i="2"/>
  <c r="W36" i="2" s="1"/>
  <c r="E37" i="2"/>
  <c r="W37" i="2" s="1"/>
  <c r="E38" i="2"/>
  <c r="W38" i="2" s="1"/>
  <c r="E39" i="2"/>
  <c r="W39" i="2" s="1"/>
  <c r="E40" i="2"/>
  <c r="W40" i="2" s="1"/>
  <c r="E41" i="2"/>
  <c r="W41" i="2" s="1"/>
  <c r="E42" i="2"/>
  <c r="W42" i="2" s="1"/>
  <c r="E43" i="2"/>
  <c r="W43" i="2" s="1"/>
  <c r="E44" i="2"/>
  <c r="AF44" i="2" s="1"/>
  <c r="E45" i="2"/>
  <c r="AF45" i="2" s="1"/>
  <c r="E46" i="2"/>
  <c r="AF46" i="2" s="1"/>
  <c r="E47" i="2"/>
  <c r="AF47" i="2" s="1"/>
  <c r="E48" i="2"/>
  <c r="AF48" i="2" s="1"/>
  <c r="E49" i="2"/>
  <c r="AF49" i="2" s="1"/>
  <c r="E50" i="2"/>
  <c r="AF50" i="2" s="1"/>
  <c r="E51" i="2"/>
  <c r="AF51" i="2" s="1"/>
  <c r="E4" i="2"/>
  <c r="AF4" i="2" s="1"/>
  <c r="Z52" i="12" l="1"/>
  <c r="AE52" i="2"/>
  <c r="AF37" i="2"/>
  <c r="AF39" i="2"/>
  <c r="O4" i="6"/>
  <c r="O52" i="6" s="1"/>
  <c r="O59" i="6" s="1"/>
  <c r="N52" i="6"/>
  <c r="H4" i="7"/>
  <c r="H52" i="7" s="1"/>
  <c r="H59" i="7" s="1"/>
  <c r="G52" i="7"/>
  <c r="N52" i="10"/>
  <c r="T52" i="10"/>
  <c r="O52" i="11"/>
  <c r="O59" i="11" s="1"/>
  <c r="O52" i="9"/>
  <c r="O59" i="9" s="1"/>
  <c r="W52" i="9"/>
  <c r="W52" i="8"/>
  <c r="AE53" i="8"/>
  <c r="AE54" i="8"/>
  <c r="T52" i="9"/>
  <c r="O4" i="7"/>
  <c r="O52" i="7" s="1"/>
  <c r="O59" i="7" s="1"/>
  <c r="N52" i="7"/>
  <c r="T52" i="3"/>
  <c r="AF52" i="13"/>
  <c r="Z52" i="13"/>
  <c r="T52" i="13"/>
  <c r="AC52" i="8"/>
  <c r="AF52" i="6"/>
  <c r="T52" i="5"/>
  <c r="H52" i="3"/>
  <c r="H59" i="3" s="1"/>
  <c r="O52" i="3"/>
  <c r="O59" i="3" s="1"/>
  <c r="AF36" i="2"/>
  <c r="AF52" i="5"/>
  <c r="Z52" i="5"/>
  <c r="H4" i="5"/>
  <c r="H52" i="5" s="1"/>
  <c r="H59" i="5" s="1"/>
  <c r="G52" i="5"/>
  <c r="H4" i="6"/>
  <c r="H52" i="6" s="1"/>
  <c r="H59" i="6" s="1"/>
  <c r="G52" i="6"/>
  <c r="O4" i="12"/>
  <c r="O52" i="12" s="1"/>
  <c r="O59" i="12" s="1"/>
  <c r="N52" i="12"/>
  <c r="H4" i="13"/>
  <c r="H52" i="13" s="1"/>
  <c r="H59" i="13" s="1"/>
  <c r="G52" i="13"/>
  <c r="AB53" i="14"/>
  <c r="AB54" i="14" s="1"/>
  <c r="AC52" i="12"/>
  <c r="AE53" i="14"/>
  <c r="AE54" i="14" s="1"/>
  <c r="AE53" i="12"/>
  <c r="AE54" i="12" s="1"/>
  <c r="O52" i="10"/>
  <c r="O59" i="10" s="1"/>
  <c r="AC52" i="9"/>
  <c r="G52" i="8"/>
  <c r="Z52" i="6"/>
  <c r="AE53" i="11"/>
  <c r="AE54" i="11" s="1"/>
  <c r="W52" i="11"/>
  <c r="AE53" i="10"/>
  <c r="AE54" i="10" s="1"/>
  <c r="G52" i="9"/>
  <c r="AF41" i="2"/>
  <c r="AF52" i="8"/>
  <c r="W52" i="10"/>
  <c r="AE53" i="9"/>
  <c r="AE54" i="9" s="1"/>
  <c r="W52" i="6"/>
  <c r="AF38" i="2"/>
  <c r="Z52" i="7"/>
  <c r="V53" i="14"/>
  <c r="V54" i="14" s="1"/>
  <c r="T57" i="6"/>
  <c r="S53" i="6"/>
  <c r="AE53" i="3"/>
  <c r="AE54" i="3" s="1"/>
  <c r="AF40" i="2"/>
  <c r="O4" i="8"/>
  <c r="O52" i="8" s="1"/>
  <c r="O59" i="8" s="1"/>
  <c r="N52" i="8"/>
  <c r="AF52" i="12"/>
  <c r="T57" i="12"/>
  <c r="S53" i="12"/>
  <c r="H52" i="8"/>
  <c r="H59" i="8" s="1"/>
  <c r="AF52" i="11"/>
  <c r="Z52" i="11"/>
  <c r="T57" i="11"/>
  <c r="S53" i="11"/>
  <c r="G52" i="11"/>
  <c r="AF52" i="10"/>
  <c r="Z52" i="9"/>
  <c r="H52" i="9"/>
  <c r="H59" i="9" s="1"/>
  <c r="T57" i="7"/>
  <c r="S53" i="7"/>
  <c r="Z52" i="3"/>
  <c r="W52" i="3"/>
  <c r="AF52" i="9"/>
  <c r="T57" i="8"/>
  <c r="S53" i="8"/>
  <c r="AE53" i="7"/>
  <c r="AE54" i="7" s="1"/>
  <c r="AF42" i="2"/>
  <c r="AC52" i="13"/>
  <c r="W52" i="13"/>
  <c r="T52" i="6"/>
  <c r="AC52" i="6"/>
  <c r="AF52" i="3"/>
  <c r="AC52" i="5"/>
  <c r="O4" i="5"/>
  <c r="O52" i="5" s="1"/>
  <c r="O59" i="5" s="1"/>
  <c r="N52" i="5"/>
  <c r="H4" i="10"/>
  <c r="H52" i="10" s="1"/>
  <c r="H59" i="10" s="1"/>
  <c r="G52" i="10"/>
  <c r="H4" i="12"/>
  <c r="H52" i="12" s="1"/>
  <c r="H59" i="12" s="1"/>
  <c r="G52" i="12"/>
  <c r="T52" i="12"/>
  <c r="N52" i="14"/>
  <c r="T57" i="14"/>
  <c r="S53" i="14"/>
  <c r="Z52" i="10"/>
  <c r="AF43" i="2"/>
  <c r="T52" i="11"/>
  <c r="H52" i="11"/>
  <c r="H59" i="11" s="1"/>
  <c r="W52" i="12"/>
  <c r="T57" i="10"/>
  <c r="S53" i="10"/>
  <c r="N52" i="11"/>
  <c r="AC52" i="10"/>
  <c r="N52" i="9"/>
  <c r="AC52" i="11"/>
  <c r="AC52" i="7"/>
  <c r="T52" i="7"/>
  <c r="AC52" i="3"/>
  <c r="T57" i="9"/>
  <c r="S53" i="9"/>
  <c r="Z52" i="8"/>
  <c r="T52" i="8"/>
  <c r="AF52" i="7"/>
  <c r="T57" i="3"/>
  <c r="S53" i="3"/>
  <c r="AE53" i="13"/>
  <c r="AE54" i="13"/>
  <c r="T57" i="13"/>
  <c r="S53" i="13"/>
  <c r="O4" i="13"/>
  <c r="O52" i="13" s="1"/>
  <c r="O59" i="13" s="1"/>
  <c r="N52" i="13"/>
  <c r="AE53" i="6"/>
  <c r="AE54" i="6"/>
  <c r="T57" i="5"/>
  <c r="S53" i="5"/>
  <c r="G52" i="3"/>
  <c r="N52" i="3"/>
  <c r="W52" i="7"/>
  <c r="AE53" i="5"/>
  <c r="AE54" i="5" s="1"/>
  <c r="W52" i="5"/>
  <c r="G52" i="14"/>
  <c r="W52" i="14"/>
  <c r="AF52" i="14"/>
  <c r="AC52" i="14"/>
  <c r="Z52" i="14"/>
  <c r="T52" i="14"/>
  <c r="O52" i="14"/>
  <c r="O59" i="14" s="1"/>
  <c r="H52" i="1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50" i="4"/>
  <c r="C51" i="4"/>
  <c r="C52" i="4"/>
  <c r="C53" i="4"/>
  <c r="C7" i="4"/>
  <c r="C8" i="4"/>
  <c r="C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6" i="4"/>
  <c r="T60" i="14" l="1"/>
  <c r="AE53" i="2"/>
  <c r="AE54" i="2" s="1"/>
  <c r="H181" i="15"/>
  <c r="H172" i="15"/>
  <c r="H165" i="15"/>
  <c r="H157" i="15"/>
  <c r="H142" i="15"/>
  <c r="H132" i="15"/>
  <c r="J110" i="22" s="1"/>
  <c r="H176" i="15"/>
  <c r="H161" i="15"/>
  <c r="H149" i="15"/>
  <c r="H135" i="15"/>
  <c r="H179" i="15"/>
  <c r="H171" i="15"/>
  <c r="H163" i="15"/>
  <c r="H153" i="15"/>
  <c r="H138" i="15"/>
  <c r="H170" i="15"/>
  <c r="H174" i="15"/>
  <c r="H166" i="15"/>
  <c r="H159" i="15"/>
  <c r="H145" i="15"/>
  <c r="H134" i="15"/>
  <c r="T58" i="8"/>
  <c r="T59" i="9"/>
  <c r="T58" i="9" s="1"/>
  <c r="T59" i="14"/>
  <c r="T61" i="14" s="1"/>
  <c r="T59" i="8"/>
  <c r="AF52" i="2"/>
  <c r="S54" i="5"/>
  <c r="T60" i="5"/>
  <c r="O58" i="13"/>
  <c r="O57" i="13"/>
  <c r="N53" i="13"/>
  <c r="S54" i="10"/>
  <c r="T60" i="10"/>
  <c r="T59" i="11"/>
  <c r="H58" i="12"/>
  <c r="H57" i="12"/>
  <c r="G53" i="12"/>
  <c r="O58" i="5"/>
  <c r="O57" i="5"/>
  <c r="N53" i="5"/>
  <c r="S54" i="7"/>
  <c r="T60" i="7"/>
  <c r="H58" i="13"/>
  <c r="H57" i="13"/>
  <c r="G53" i="13"/>
  <c r="H58" i="6"/>
  <c r="H57" i="6"/>
  <c r="G53" i="6"/>
  <c r="O58" i="10"/>
  <c r="O57" i="10"/>
  <c r="N53" i="10"/>
  <c r="O58" i="9"/>
  <c r="O57" i="9"/>
  <c r="N53" i="9"/>
  <c r="T59" i="6"/>
  <c r="T58" i="6" s="1"/>
  <c r="H57" i="11"/>
  <c r="H58" i="11"/>
  <c r="G53" i="11"/>
  <c r="T59" i="3"/>
  <c r="H58" i="7"/>
  <c r="H57" i="7"/>
  <c r="G53" i="7"/>
  <c r="O58" i="3"/>
  <c r="O57" i="3"/>
  <c r="N53" i="3"/>
  <c r="S54" i="13"/>
  <c r="T60" i="13"/>
  <c r="S54" i="3"/>
  <c r="T60" i="3"/>
  <c r="T59" i="7"/>
  <c r="T58" i="7" s="1"/>
  <c r="N53" i="14"/>
  <c r="O60" i="14" s="1"/>
  <c r="O61" i="14" s="1"/>
  <c r="O57" i="14"/>
  <c r="O58" i="14"/>
  <c r="H58" i="10"/>
  <c r="H57" i="10"/>
  <c r="G53" i="10"/>
  <c r="S54" i="11"/>
  <c r="T60" i="11"/>
  <c r="O58" i="8"/>
  <c r="O57" i="8"/>
  <c r="N53" i="8"/>
  <c r="H58" i="8"/>
  <c r="H57" i="8"/>
  <c r="G53" i="8"/>
  <c r="O58" i="12"/>
  <c r="O57" i="12"/>
  <c r="N53" i="12"/>
  <c r="H58" i="5"/>
  <c r="H57" i="5"/>
  <c r="G53" i="5"/>
  <c r="T59" i="13"/>
  <c r="O58" i="7"/>
  <c r="O57" i="7"/>
  <c r="N53" i="7"/>
  <c r="H57" i="3"/>
  <c r="H58" i="3"/>
  <c r="G53" i="3"/>
  <c r="H60" i="3" s="1"/>
  <c r="H61" i="3" s="1"/>
  <c r="S54" i="9"/>
  <c r="T60" i="9"/>
  <c r="T61" i="9" s="1"/>
  <c r="O57" i="11"/>
  <c r="O58" i="11"/>
  <c r="N53" i="11"/>
  <c r="S54" i="14"/>
  <c r="T59" i="12"/>
  <c r="S54" i="8"/>
  <c r="T60" i="8"/>
  <c r="T61" i="8" s="1"/>
  <c r="S54" i="12"/>
  <c r="T60" i="12"/>
  <c r="S54" i="6"/>
  <c r="T60" i="6"/>
  <c r="H58" i="9"/>
  <c r="H57" i="9"/>
  <c r="G53" i="9"/>
  <c r="T59" i="5"/>
  <c r="T59" i="10"/>
  <c r="T61" i="10" s="1"/>
  <c r="O58" i="6"/>
  <c r="O57" i="6"/>
  <c r="N53" i="6"/>
  <c r="H59" i="14"/>
  <c r="H57" i="14"/>
  <c r="H58" i="14"/>
  <c r="G53" i="14"/>
  <c r="H60" i="14" s="1"/>
  <c r="T61" i="11" l="1"/>
  <c r="T58" i="14"/>
  <c r="T61" i="12"/>
  <c r="J112" i="22"/>
  <c r="K112" i="22" s="1"/>
  <c r="J113" i="22"/>
  <c r="K113" i="22" s="1"/>
  <c r="J145" i="22"/>
  <c r="K145" i="22" s="1"/>
  <c r="J132" i="22"/>
  <c r="K132" i="22" s="1"/>
  <c r="J139" i="22"/>
  <c r="K139" i="22" s="1"/>
  <c r="J114" i="22"/>
  <c r="K114" i="22" s="1"/>
  <c r="J137" i="22"/>
  <c r="K137" i="22" s="1"/>
  <c r="J156" i="22"/>
  <c r="K156" i="22" s="1"/>
  <c r="J131" i="22"/>
  <c r="K131" i="22" s="1"/>
  <c r="J121" i="22"/>
  <c r="K121" i="22" s="1"/>
  <c r="J153" i="22"/>
  <c r="K153" i="22" s="1"/>
  <c r="J140" i="22"/>
  <c r="K140" i="22" s="1"/>
  <c r="J115" i="22"/>
  <c r="K115" i="22" s="1"/>
  <c r="J151" i="22"/>
  <c r="K151" i="22" s="1"/>
  <c r="J129" i="22"/>
  <c r="K129" i="22" s="1"/>
  <c r="J116" i="22"/>
  <c r="K116" i="22" s="1"/>
  <c r="J148" i="22"/>
  <c r="K148" i="22" s="1"/>
  <c r="J146" i="22"/>
  <c r="K146" i="22" s="1"/>
  <c r="J135" i="22"/>
  <c r="K135" i="22" s="1"/>
  <c r="J124" i="22"/>
  <c r="K124" i="22" s="1"/>
  <c r="J130" i="22"/>
  <c r="K130" i="22" s="1"/>
  <c r="J118" i="22"/>
  <c r="K118" i="22" s="1"/>
  <c r="J138" i="22"/>
  <c r="K138" i="22" s="1"/>
  <c r="J157" i="22"/>
  <c r="K157" i="22" s="1"/>
  <c r="J159" i="22"/>
  <c r="K159" i="22" s="1"/>
  <c r="J154" i="22"/>
  <c r="K154" i="22" s="1"/>
  <c r="J120" i="22"/>
  <c r="K120" i="22" s="1"/>
  <c r="J143" i="22"/>
  <c r="K143" i="22" s="1"/>
  <c r="J134" i="22"/>
  <c r="K134" i="22" s="1"/>
  <c r="J155" i="22"/>
  <c r="K155" i="22" s="1"/>
  <c r="J141" i="22"/>
  <c r="K141" i="22" s="1"/>
  <c r="J147" i="22"/>
  <c r="K147" i="22" s="1"/>
  <c r="J123" i="22"/>
  <c r="K123" i="22" s="1"/>
  <c r="J149" i="22"/>
  <c r="K149" i="22" s="1"/>
  <c r="J158" i="22"/>
  <c r="K158" i="22" s="1"/>
  <c r="J126" i="22"/>
  <c r="K126" i="22" s="1"/>
  <c r="J144" i="22"/>
  <c r="K144" i="22" s="1"/>
  <c r="J125" i="22"/>
  <c r="K125" i="22" s="1"/>
  <c r="J142" i="22"/>
  <c r="K142" i="22" s="1"/>
  <c r="J152" i="22"/>
  <c r="K152" i="22" s="1"/>
  <c r="J133" i="22"/>
  <c r="K133" i="22" s="1"/>
  <c r="J150" i="22"/>
  <c r="K150" i="22" s="1"/>
  <c r="J119" i="22"/>
  <c r="K119" i="22" s="1"/>
  <c r="J128" i="22"/>
  <c r="K128" i="22" s="1"/>
  <c r="J127" i="22"/>
  <c r="K127" i="22" s="1"/>
  <c r="J122" i="22"/>
  <c r="K122" i="22" s="1"/>
  <c r="J136" i="22"/>
  <c r="K136" i="22" s="1"/>
  <c r="J117" i="22"/>
  <c r="K117" i="22" s="1"/>
  <c r="T58" i="11"/>
  <c r="T61" i="3"/>
  <c r="T58" i="3"/>
  <c r="T61" i="7"/>
  <c r="N54" i="11"/>
  <c r="O60" i="11"/>
  <c r="O61" i="11" s="1"/>
  <c r="G54" i="8"/>
  <c r="H60" i="8"/>
  <c r="H61" i="8" s="1"/>
  <c r="G54" i="13"/>
  <c r="H60" i="13"/>
  <c r="H61" i="13" s="1"/>
  <c r="N54" i="5"/>
  <c r="O60" i="5"/>
  <c r="O61" i="5" s="1"/>
  <c r="N54" i="6"/>
  <c r="O60" i="6"/>
  <c r="O61" i="6" s="1"/>
  <c r="G54" i="9"/>
  <c r="H60" i="9"/>
  <c r="H61" i="9" s="1"/>
  <c r="T61" i="13"/>
  <c r="N54" i="12"/>
  <c r="O60" i="12"/>
  <c r="O61" i="12" s="1"/>
  <c r="N54" i="14"/>
  <c r="G54" i="7"/>
  <c r="H60" i="7"/>
  <c r="H61" i="7" s="1"/>
  <c r="G54" i="11"/>
  <c r="H60" i="11"/>
  <c r="H61" i="11" s="1"/>
  <c r="T61" i="6"/>
  <c r="T58" i="10"/>
  <c r="N54" i="10"/>
  <c r="O60" i="10"/>
  <c r="O61" i="10" s="1"/>
  <c r="G54" i="6"/>
  <c r="H60" i="6"/>
  <c r="H61" i="6" s="1"/>
  <c r="T58" i="12"/>
  <c r="N54" i="13"/>
  <c r="O60" i="13"/>
  <c r="O61" i="13" s="1"/>
  <c r="T61" i="5"/>
  <c r="T58" i="13"/>
  <c r="N54" i="7"/>
  <c r="O60" i="7"/>
  <c r="O61" i="7" s="1"/>
  <c r="G54" i="5"/>
  <c r="H60" i="5"/>
  <c r="H61" i="5" s="1"/>
  <c r="G54" i="10"/>
  <c r="H60" i="10"/>
  <c r="H61" i="10" s="1"/>
  <c r="N54" i="3"/>
  <c r="O60" i="3"/>
  <c r="O61" i="3" s="1"/>
  <c r="N54" i="9"/>
  <c r="O60" i="9"/>
  <c r="O61" i="9" s="1"/>
  <c r="G54" i="3"/>
  <c r="N54" i="8"/>
  <c r="O60" i="8"/>
  <c r="O61" i="8" s="1"/>
  <c r="T58" i="5"/>
  <c r="G54" i="12"/>
  <c r="H60" i="12"/>
  <c r="H61" i="12" s="1"/>
  <c r="G54" i="14"/>
  <c r="H61" i="14"/>
  <c r="S37" i="2"/>
  <c r="T37" i="2" s="1"/>
  <c r="S38" i="2"/>
  <c r="T38" i="2" s="1"/>
  <c r="S39" i="2"/>
  <c r="T39" i="2" s="1"/>
  <c r="S40" i="2"/>
  <c r="T40" i="2" s="1"/>
  <c r="S41" i="2"/>
  <c r="T41" i="2" s="1"/>
  <c r="S42" i="2"/>
  <c r="T42" i="2" s="1"/>
  <c r="S43" i="2"/>
  <c r="T43" i="2" s="1"/>
  <c r="S36" i="2"/>
  <c r="AA5" i="2"/>
  <c r="AB5" i="2" s="1"/>
  <c r="AC5" i="2" s="1"/>
  <c r="AA6" i="2"/>
  <c r="AB6" i="2" s="1"/>
  <c r="AC6" i="2" s="1"/>
  <c r="AA7" i="2"/>
  <c r="AB7" i="2" s="1"/>
  <c r="AC7" i="2" s="1"/>
  <c r="AA8" i="2"/>
  <c r="AB8" i="2" s="1"/>
  <c r="AC8" i="2" s="1"/>
  <c r="AA9" i="2"/>
  <c r="AB9" i="2" s="1"/>
  <c r="AC9" i="2" s="1"/>
  <c r="AA10" i="2"/>
  <c r="AB10" i="2" s="1"/>
  <c r="AC10" i="2" s="1"/>
  <c r="AA11" i="2"/>
  <c r="AB11" i="2" s="1"/>
  <c r="AC11" i="2" s="1"/>
  <c r="AA12" i="2"/>
  <c r="AB12" i="2" s="1"/>
  <c r="AC12" i="2" s="1"/>
  <c r="AA13" i="2"/>
  <c r="AB13" i="2" s="1"/>
  <c r="AC13" i="2" s="1"/>
  <c r="AA14" i="2"/>
  <c r="AB14" i="2" s="1"/>
  <c r="AC14" i="2" s="1"/>
  <c r="AA15" i="2"/>
  <c r="AB15" i="2" s="1"/>
  <c r="AC15" i="2" s="1"/>
  <c r="AA16" i="2"/>
  <c r="AB16" i="2" s="1"/>
  <c r="AC16" i="2" s="1"/>
  <c r="AA17" i="2"/>
  <c r="AB17" i="2" s="1"/>
  <c r="AC17" i="2" s="1"/>
  <c r="AA18" i="2"/>
  <c r="AB18" i="2" s="1"/>
  <c r="AC18" i="2" s="1"/>
  <c r="AA19" i="2"/>
  <c r="AB19" i="2" s="1"/>
  <c r="AC19" i="2" s="1"/>
  <c r="AA20" i="2"/>
  <c r="AB20" i="2" s="1"/>
  <c r="AC20" i="2" s="1"/>
  <c r="AA21" i="2"/>
  <c r="AB21" i="2" s="1"/>
  <c r="AC21" i="2" s="1"/>
  <c r="AA22" i="2"/>
  <c r="AB22" i="2" s="1"/>
  <c r="AC22" i="2" s="1"/>
  <c r="AA23" i="2"/>
  <c r="AB23" i="2" s="1"/>
  <c r="AC23" i="2" s="1"/>
  <c r="AA24" i="2"/>
  <c r="AB24" i="2" s="1"/>
  <c r="AC24" i="2" s="1"/>
  <c r="AA25" i="2"/>
  <c r="AB25" i="2" s="1"/>
  <c r="AC25" i="2" s="1"/>
  <c r="AA26" i="2"/>
  <c r="AB26" i="2" s="1"/>
  <c r="AC26" i="2" s="1"/>
  <c r="AA27" i="2"/>
  <c r="AB27" i="2" s="1"/>
  <c r="AC27" i="2" s="1"/>
  <c r="AA28" i="2"/>
  <c r="AB28" i="2" s="1"/>
  <c r="AC28" i="2" s="1"/>
  <c r="AA29" i="2"/>
  <c r="AB29" i="2" s="1"/>
  <c r="AC29" i="2" s="1"/>
  <c r="AA30" i="2"/>
  <c r="AB30" i="2" s="1"/>
  <c r="AC30" i="2" s="1"/>
  <c r="AA31" i="2"/>
  <c r="AB31" i="2" s="1"/>
  <c r="AC31" i="2" s="1"/>
  <c r="AA32" i="2"/>
  <c r="AB32" i="2" s="1"/>
  <c r="AC32" i="2" s="1"/>
  <c r="AA33" i="2"/>
  <c r="AB33" i="2" s="1"/>
  <c r="AC33" i="2" s="1"/>
  <c r="AA34" i="2"/>
  <c r="AB34" i="2" s="1"/>
  <c r="AC34" i="2" s="1"/>
  <c r="AA35" i="2"/>
  <c r="AB35" i="2" s="1"/>
  <c r="AC35" i="2" s="1"/>
  <c r="AA36" i="2"/>
  <c r="AB36" i="2" s="1"/>
  <c r="AC36" i="2" s="1"/>
  <c r="AA37" i="2"/>
  <c r="AB37" i="2" s="1"/>
  <c r="AC37" i="2" s="1"/>
  <c r="AA38" i="2"/>
  <c r="AB38" i="2" s="1"/>
  <c r="AC38" i="2" s="1"/>
  <c r="AA39" i="2"/>
  <c r="AB39" i="2" s="1"/>
  <c r="AC39" i="2" s="1"/>
  <c r="AA40" i="2"/>
  <c r="AB40" i="2" s="1"/>
  <c r="AC40" i="2" s="1"/>
  <c r="AA41" i="2"/>
  <c r="AB41" i="2" s="1"/>
  <c r="AC41" i="2" s="1"/>
  <c r="AA42" i="2"/>
  <c r="AB42" i="2" s="1"/>
  <c r="AC42" i="2" s="1"/>
  <c r="AA43" i="2"/>
  <c r="AB43" i="2" s="1"/>
  <c r="AC43" i="2" s="1"/>
  <c r="AA44" i="2"/>
  <c r="AB44" i="2" s="1"/>
  <c r="AC44" i="2" s="1"/>
  <c r="AA45" i="2"/>
  <c r="AB45" i="2" s="1"/>
  <c r="AC45" i="2" s="1"/>
  <c r="AA46" i="2"/>
  <c r="AB46" i="2" s="1"/>
  <c r="AC46" i="2" s="1"/>
  <c r="AA47" i="2"/>
  <c r="AB47" i="2" s="1"/>
  <c r="AC47" i="2" s="1"/>
  <c r="AA48" i="2"/>
  <c r="AB48" i="2" s="1"/>
  <c r="AC48" i="2" s="1"/>
  <c r="AA49" i="2"/>
  <c r="AB49" i="2" s="1"/>
  <c r="AC49" i="2" s="1"/>
  <c r="AA50" i="2"/>
  <c r="AB50" i="2" s="1"/>
  <c r="AC50" i="2" s="1"/>
  <c r="AA51" i="2"/>
  <c r="AB51" i="2" s="1"/>
  <c r="AC51" i="2" s="1"/>
  <c r="AA4" i="2"/>
  <c r="AB4" i="2" s="1"/>
  <c r="X5" i="2"/>
  <c r="Y5" i="2" s="1"/>
  <c r="Z5" i="2" s="1"/>
  <c r="X6" i="2"/>
  <c r="Y6" i="2" s="1"/>
  <c r="Z6" i="2" s="1"/>
  <c r="X7" i="2"/>
  <c r="Y7" i="2" s="1"/>
  <c r="Z7" i="2" s="1"/>
  <c r="X8" i="2"/>
  <c r="Y8" i="2" s="1"/>
  <c r="Z8" i="2" s="1"/>
  <c r="X9" i="2"/>
  <c r="Y9" i="2" s="1"/>
  <c r="Z9" i="2" s="1"/>
  <c r="X10" i="2"/>
  <c r="Y10" i="2" s="1"/>
  <c r="Z10" i="2" s="1"/>
  <c r="X11" i="2"/>
  <c r="Y11" i="2" s="1"/>
  <c r="Z11" i="2" s="1"/>
  <c r="X12" i="2"/>
  <c r="Y12" i="2" s="1"/>
  <c r="Z12" i="2" s="1"/>
  <c r="X13" i="2"/>
  <c r="Y13" i="2" s="1"/>
  <c r="Z13" i="2" s="1"/>
  <c r="X14" i="2"/>
  <c r="Y14" i="2" s="1"/>
  <c r="Z14" i="2" s="1"/>
  <c r="X15" i="2"/>
  <c r="Y15" i="2" s="1"/>
  <c r="Z15" i="2" s="1"/>
  <c r="X16" i="2"/>
  <c r="Y16" i="2" s="1"/>
  <c r="Z16" i="2" s="1"/>
  <c r="X17" i="2"/>
  <c r="Y17" i="2" s="1"/>
  <c r="Z17" i="2" s="1"/>
  <c r="X18" i="2"/>
  <c r="Y18" i="2" s="1"/>
  <c r="Z18" i="2" s="1"/>
  <c r="X19" i="2"/>
  <c r="Y19" i="2" s="1"/>
  <c r="Z19" i="2" s="1"/>
  <c r="X20" i="2"/>
  <c r="Y20" i="2" s="1"/>
  <c r="Z20" i="2" s="1"/>
  <c r="X21" i="2"/>
  <c r="Y21" i="2" s="1"/>
  <c r="Z21" i="2" s="1"/>
  <c r="X22" i="2"/>
  <c r="Y22" i="2" s="1"/>
  <c r="Z22" i="2" s="1"/>
  <c r="X23" i="2"/>
  <c r="Y23" i="2" s="1"/>
  <c r="Z23" i="2" s="1"/>
  <c r="X24" i="2"/>
  <c r="Y24" i="2" s="1"/>
  <c r="Z24" i="2" s="1"/>
  <c r="X25" i="2"/>
  <c r="Y25" i="2" s="1"/>
  <c r="Z25" i="2" s="1"/>
  <c r="X26" i="2"/>
  <c r="Y26" i="2" s="1"/>
  <c r="Z26" i="2" s="1"/>
  <c r="X27" i="2"/>
  <c r="Y27" i="2" s="1"/>
  <c r="Z27" i="2" s="1"/>
  <c r="X28" i="2"/>
  <c r="Y28" i="2" s="1"/>
  <c r="Z28" i="2" s="1"/>
  <c r="X29" i="2"/>
  <c r="Y29" i="2" s="1"/>
  <c r="Z29" i="2" s="1"/>
  <c r="X30" i="2"/>
  <c r="Y30" i="2" s="1"/>
  <c r="Z30" i="2" s="1"/>
  <c r="X31" i="2"/>
  <c r="Y31" i="2" s="1"/>
  <c r="Z31" i="2" s="1"/>
  <c r="X32" i="2"/>
  <c r="Y32" i="2" s="1"/>
  <c r="Z32" i="2" s="1"/>
  <c r="X33" i="2"/>
  <c r="Y33" i="2" s="1"/>
  <c r="Z33" i="2" s="1"/>
  <c r="X34" i="2"/>
  <c r="Y34" i="2" s="1"/>
  <c r="Z34" i="2" s="1"/>
  <c r="X35" i="2"/>
  <c r="Y35" i="2" s="1"/>
  <c r="Z35" i="2" s="1"/>
  <c r="X36" i="2"/>
  <c r="Y36" i="2" s="1"/>
  <c r="Z36" i="2" s="1"/>
  <c r="X37" i="2"/>
  <c r="Y37" i="2" s="1"/>
  <c r="Z37" i="2" s="1"/>
  <c r="X38" i="2"/>
  <c r="Y38" i="2" s="1"/>
  <c r="Z38" i="2" s="1"/>
  <c r="X39" i="2"/>
  <c r="Y39" i="2" s="1"/>
  <c r="Z39" i="2" s="1"/>
  <c r="X40" i="2"/>
  <c r="Y40" i="2" s="1"/>
  <c r="Z40" i="2" s="1"/>
  <c r="X41" i="2"/>
  <c r="Y41" i="2" s="1"/>
  <c r="Z41" i="2" s="1"/>
  <c r="X42" i="2"/>
  <c r="Y42" i="2" s="1"/>
  <c r="Z42" i="2" s="1"/>
  <c r="X43" i="2"/>
  <c r="Y43" i="2" s="1"/>
  <c r="Z43" i="2" s="1"/>
  <c r="X44" i="2"/>
  <c r="Y44" i="2" s="1"/>
  <c r="Z44" i="2" s="1"/>
  <c r="X45" i="2"/>
  <c r="Y45" i="2" s="1"/>
  <c r="Z45" i="2" s="1"/>
  <c r="X46" i="2"/>
  <c r="Y46" i="2" s="1"/>
  <c r="Z46" i="2" s="1"/>
  <c r="X47" i="2"/>
  <c r="Y47" i="2" s="1"/>
  <c r="Z47" i="2" s="1"/>
  <c r="X48" i="2"/>
  <c r="Y48" i="2" s="1"/>
  <c r="Z48" i="2" s="1"/>
  <c r="X49" i="2"/>
  <c r="Y49" i="2" s="1"/>
  <c r="Z49" i="2" s="1"/>
  <c r="X50" i="2"/>
  <c r="Y50" i="2" s="1"/>
  <c r="Z50" i="2" s="1"/>
  <c r="X51" i="2"/>
  <c r="Y51" i="2" s="1"/>
  <c r="Z51" i="2" s="1"/>
  <c r="X4" i="2"/>
  <c r="Y4" i="2" s="1"/>
  <c r="U5" i="2"/>
  <c r="V5" i="2" s="1"/>
  <c r="W5" i="2" s="1"/>
  <c r="U6" i="2"/>
  <c r="V6" i="2" s="1"/>
  <c r="W6" i="2" s="1"/>
  <c r="U7" i="2"/>
  <c r="V7" i="2" s="1"/>
  <c r="W7" i="2" s="1"/>
  <c r="U8" i="2"/>
  <c r="V8" i="2" s="1"/>
  <c r="W8" i="2" s="1"/>
  <c r="U9" i="2"/>
  <c r="V9" i="2" s="1"/>
  <c r="W9" i="2" s="1"/>
  <c r="U10" i="2"/>
  <c r="V10" i="2" s="1"/>
  <c r="U11" i="2"/>
  <c r="V11" i="2" s="1"/>
  <c r="W11" i="2" s="1"/>
  <c r="U12" i="2"/>
  <c r="V12" i="2" s="1"/>
  <c r="W12" i="2" s="1"/>
  <c r="U13" i="2"/>
  <c r="V13" i="2" s="1"/>
  <c r="W13" i="2" s="1"/>
  <c r="U14" i="2"/>
  <c r="V14" i="2" s="1"/>
  <c r="W14" i="2" s="1"/>
  <c r="U15" i="2"/>
  <c r="V15" i="2" s="1"/>
  <c r="W15" i="2" s="1"/>
  <c r="U16" i="2"/>
  <c r="V16" i="2" s="1"/>
  <c r="W16" i="2" s="1"/>
  <c r="U17" i="2"/>
  <c r="V17" i="2" s="1"/>
  <c r="W17" i="2" s="1"/>
  <c r="U18" i="2"/>
  <c r="V18" i="2" s="1"/>
  <c r="U19" i="2"/>
  <c r="V19" i="2" s="1"/>
  <c r="W19" i="2" s="1"/>
  <c r="U20" i="2"/>
  <c r="V20" i="2" s="1"/>
  <c r="W20" i="2" s="1"/>
  <c r="U21" i="2"/>
  <c r="V21" i="2" s="1"/>
  <c r="W21" i="2" s="1"/>
  <c r="U22" i="2"/>
  <c r="V22" i="2" s="1"/>
  <c r="W22" i="2" s="1"/>
  <c r="U23" i="2"/>
  <c r="V23" i="2" s="1"/>
  <c r="W23" i="2" s="1"/>
  <c r="U24" i="2"/>
  <c r="V24" i="2" s="1"/>
  <c r="U25" i="2"/>
  <c r="V25" i="2" s="1"/>
  <c r="W25" i="2" s="1"/>
  <c r="U26" i="2"/>
  <c r="V26" i="2" s="1"/>
  <c r="W26" i="2" s="1"/>
  <c r="U27" i="2"/>
  <c r="V27" i="2" s="1"/>
  <c r="W27" i="2" s="1"/>
  <c r="U28" i="2"/>
  <c r="V28" i="2" s="1"/>
  <c r="W28" i="2" s="1"/>
  <c r="U29" i="2"/>
  <c r="V29" i="2" s="1"/>
  <c r="W29" i="2" s="1"/>
  <c r="U30" i="2"/>
  <c r="V30" i="2" s="1"/>
  <c r="W30" i="2" s="1"/>
  <c r="U31" i="2"/>
  <c r="V31" i="2" s="1"/>
  <c r="U32" i="2"/>
  <c r="V32" i="2" s="1"/>
  <c r="W32" i="2" s="1"/>
  <c r="U33" i="2"/>
  <c r="V33" i="2" s="1"/>
  <c r="W33" i="2" s="1"/>
  <c r="U34" i="2"/>
  <c r="V34" i="2" s="1"/>
  <c r="W34" i="2" s="1"/>
  <c r="U35" i="2"/>
  <c r="V35" i="2" s="1"/>
  <c r="U44" i="2"/>
  <c r="V44" i="2" s="1"/>
  <c r="U45" i="2"/>
  <c r="V45" i="2" s="1"/>
  <c r="W45" i="2" s="1"/>
  <c r="U46" i="2"/>
  <c r="V46" i="2" s="1"/>
  <c r="W46" i="2" s="1"/>
  <c r="U47" i="2"/>
  <c r="V47" i="2" s="1"/>
  <c r="W47" i="2" s="1"/>
  <c r="U48" i="2"/>
  <c r="V48" i="2" s="1"/>
  <c r="W48" i="2" s="1"/>
  <c r="U49" i="2"/>
  <c r="V49" i="2" s="1"/>
  <c r="W49" i="2" s="1"/>
  <c r="U50" i="2"/>
  <c r="V50" i="2" s="1"/>
  <c r="W50" i="2" s="1"/>
  <c r="U51" i="2"/>
  <c r="V51" i="2" s="1"/>
  <c r="W51" i="2" s="1"/>
  <c r="U4" i="2"/>
  <c r="V4" i="2" s="1"/>
  <c r="R5" i="2"/>
  <c r="S5" i="2" s="1"/>
  <c r="T5" i="2" s="1"/>
  <c r="R6" i="2"/>
  <c r="S6" i="2" s="1"/>
  <c r="T6" i="2" s="1"/>
  <c r="R7" i="2"/>
  <c r="S7" i="2" s="1"/>
  <c r="T7" i="2" s="1"/>
  <c r="R8" i="2"/>
  <c r="S8" i="2" s="1"/>
  <c r="T8" i="2" s="1"/>
  <c r="R9" i="2"/>
  <c r="S9" i="2" s="1"/>
  <c r="T9" i="2" s="1"/>
  <c r="R10" i="2"/>
  <c r="S10" i="2" s="1"/>
  <c r="R11" i="2"/>
  <c r="S11" i="2" s="1"/>
  <c r="T11" i="2" s="1"/>
  <c r="R12" i="2"/>
  <c r="S12" i="2" s="1"/>
  <c r="T12" i="2" s="1"/>
  <c r="R13" i="2"/>
  <c r="S13" i="2" s="1"/>
  <c r="T13" i="2" s="1"/>
  <c r="R14" i="2"/>
  <c r="S14" i="2" s="1"/>
  <c r="T14" i="2" s="1"/>
  <c r="R15" i="2"/>
  <c r="S15" i="2" s="1"/>
  <c r="T15" i="2" s="1"/>
  <c r="R16" i="2"/>
  <c r="S16" i="2" s="1"/>
  <c r="T16" i="2" s="1"/>
  <c r="R17" i="2"/>
  <c r="S17" i="2" s="1"/>
  <c r="T17" i="2" s="1"/>
  <c r="R18" i="2"/>
  <c r="S18" i="2" s="1"/>
  <c r="R19" i="2"/>
  <c r="S19" i="2" s="1"/>
  <c r="T19" i="2" s="1"/>
  <c r="R20" i="2"/>
  <c r="S20" i="2" s="1"/>
  <c r="T20" i="2" s="1"/>
  <c r="R21" i="2"/>
  <c r="S21" i="2" s="1"/>
  <c r="T21" i="2" s="1"/>
  <c r="R22" i="2"/>
  <c r="S22" i="2" s="1"/>
  <c r="T22" i="2" s="1"/>
  <c r="R23" i="2"/>
  <c r="S23" i="2" s="1"/>
  <c r="T23" i="2" s="1"/>
  <c r="R24" i="2"/>
  <c r="S24" i="2" s="1"/>
  <c r="R25" i="2"/>
  <c r="S25" i="2" s="1"/>
  <c r="T25" i="2" s="1"/>
  <c r="R26" i="2"/>
  <c r="S26" i="2" s="1"/>
  <c r="T26" i="2" s="1"/>
  <c r="R27" i="2"/>
  <c r="S27" i="2" s="1"/>
  <c r="T27" i="2" s="1"/>
  <c r="R28" i="2"/>
  <c r="S28" i="2" s="1"/>
  <c r="T28" i="2" s="1"/>
  <c r="R29" i="2"/>
  <c r="S29" i="2" s="1"/>
  <c r="T29" i="2" s="1"/>
  <c r="R30" i="2"/>
  <c r="S30" i="2" s="1"/>
  <c r="T30" i="2" s="1"/>
  <c r="R31" i="2"/>
  <c r="S31" i="2" s="1"/>
  <c r="R32" i="2"/>
  <c r="S32" i="2" s="1"/>
  <c r="T32" i="2" s="1"/>
  <c r="R33" i="2"/>
  <c r="S33" i="2" s="1"/>
  <c r="T33" i="2" s="1"/>
  <c r="R34" i="2"/>
  <c r="S34" i="2" s="1"/>
  <c r="T34" i="2" s="1"/>
  <c r="R35" i="2"/>
  <c r="S35" i="2" s="1"/>
  <c r="R44" i="2"/>
  <c r="S44" i="2" s="1"/>
  <c r="R45" i="2"/>
  <c r="S45" i="2" s="1"/>
  <c r="T45" i="2" s="1"/>
  <c r="R46" i="2"/>
  <c r="S46" i="2" s="1"/>
  <c r="T46" i="2" s="1"/>
  <c r="R47" i="2"/>
  <c r="S47" i="2" s="1"/>
  <c r="T47" i="2" s="1"/>
  <c r="R48" i="2"/>
  <c r="S48" i="2" s="1"/>
  <c r="T48" i="2" s="1"/>
  <c r="R49" i="2"/>
  <c r="S49" i="2" s="1"/>
  <c r="T49" i="2" s="1"/>
  <c r="R50" i="2"/>
  <c r="S50" i="2" s="1"/>
  <c r="T50" i="2" s="1"/>
  <c r="R51" i="2"/>
  <c r="S51" i="2" s="1"/>
  <c r="T51" i="2" s="1"/>
  <c r="R4" i="2"/>
  <c r="S4" i="2" s="1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F46" i="2"/>
  <c r="J46" i="2" s="1"/>
  <c r="F47" i="2"/>
  <c r="J47" i="2" s="1"/>
  <c r="F48" i="2"/>
  <c r="J48" i="2" s="1"/>
  <c r="F49" i="2"/>
  <c r="J49" i="2" s="1"/>
  <c r="F50" i="2"/>
  <c r="J50" i="2" s="1"/>
  <c r="F51" i="2"/>
  <c r="J51" i="2" s="1"/>
  <c r="J6" i="2"/>
  <c r="J7" i="2"/>
  <c r="J8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4" i="2"/>
  <c r="O117" i="22" l="1"/>
  <c r="L117" i="22"/>
  <c r="O128" i="22"/>
  <c r="L128" i="22"/>
  <c r="O152" i="22"/>
  <c r="L152" i="22"/>
  <c r="O126" i="22"/>
  <c r="L126" i="22"/>
  <c r="O147" i="22"/>
  <c r="L147" i="22"/>
  <c r="O143" i="22"/>
  <c r="L143" i="22"/>
  <c r="P143" i="22" s="1"/>
  <c r="O157" i="22"/>
  <c r="L157" i="22"/>
  <c r="O124" i="22"/>
  <c r="L124" i="22"/>
  <c r="O116" i="22"/>
  <c r="L116" i="22"/>
  <c r="O140" i="22"/>
  <c r="L140" i="22"/>
  <c r="O156" i="22"/>
  <c r="L156" i="22"/>
  <c r="O132" i="22"/>
  <c r="L132" i="22"/>
  <c r="O136" i="22"/>
  <c r="L136" i="22"/>
  <c r="O119" i="22"/>
  <c r="L119" i="22"/>
  <c r="O142" i="22"/>
  <c r="L142" i="22"/>
  <c r="O158" i="22"/>
  <c r="L158" i="22"/>
  <c r="O141" i="22"/>
  <c r="L141" i="22"/>
  <c r="O120" i="22"/>
  <c r="L120" i="22"/>
  <c r="O138" i="22"/>
  <c r="L138" i="22"/>
  <c r="O135" i="22"/>
  <c r="L135" i="22"/>
  <c r="O129" i="22"/>
  <c r="L129" i="22"/>
  <c r="O153" i="22"/>
  <c r="L153" i="22"/>
  <c r="O137" i="22"/>
  <c r="L137" i="22"/>
  <c r="O145" i="22"/>
  <c r="L145" i="22"/>
  <c r="O122" i="22"/>
  <c r="L122" i="22"/>
  <c r="O150" i="22"/>
  <c r="L150" i="22"/>
  <c r="O125" i="22"/>
  <c r="L125" i="22"/>
  <c r="O149" i="22"/>
  <c r="L149" i="22"/>
  <c r="O155" i="22"/>
  <c r="L155" i="22"/>
  <c r="O154" i="22"/>
  <c r="L154" i="22"/>
  <c r="O118" i="22"/>
  <c r="L118" i="22"/>
  <c r="O146" i="22"/>
  <c r="L146" i="22"/>
  <c r="O151" i="22"/>
  <c r="L151" i="22"/>
  <c r="O121" i="22"/>
  <c r="L121" i="22"/>
  <c r="O114" i="22"/>
  <c r="L114" i="22"/>
  <c r="O113" i="22"/>
  <c r="L113" i="22"/>
  <c r="O127" i="22"/>
  <c r="L127" i="22"/>
  <c r="O133" i="22"/>
  <c r="L133" i="22"/>
  <c r="O144" i="22"/>
  <c r="L144" i="22"/>
  <c r="O123" i="22"/>
  <c r="L123" i="22"/>
  <c r="O134" i="22"/>
  <c r="L134" i="22"/>
  <c r="O159" i="22"/>
  <c r="L159" i="22"/>
  <c r="O130" i="22"/>
  <c r="L130" i="22"/>
  <c r="O148" i="22"/>
  <c r="L148" i="22"/>
  <c r="O115" i="22"/>
  <c r="L115" i="22"/>
  <c r="O131" i="22"/>
  <c r="L131" i="22"/>
  <c r="O139" i="22"/>
  <c r="L139" i="22"/>
  <c r="O112" i="22"/>
  <c r="L112" i="22"/>
  <c r="W35" i="2"/>
  <c r="V52" i="2"/>
  <c r="T35" i="2"/>
  <c r="S52" i="2"/>
  <c r="W31" i="2"/>
  <c r="W44" i="2"/>
  <c r="Y52" i="2"/>
  <c r="AB52" i="2"/>
  <c r="T36" i="2"/>
  <c r="T44" i="2"/>
  <c r="T18" i="2"/>
  <c r="T10" i="2"/>
  <c r="W18" i="2"/>
  <c r="W10" i="2"/>
  <c r="T24" i="2"/>
  <c r="W24" i="2"/>
  <c r="T31" i="2"/>
  <c r="T4" i="2"/>
  <c r="W4" i="2"/>
  <c r="Z4" i="2"/>
  <c r="AC4" i="2"/>
  <c r="AC52" i="2" s="1"/>
  <c r="G9" i="2"/>
  <c r="H9" i="2" s="1"/>
  <c r="J9" i="2"/>
  <c r="G5" i="2"/>
  <c r="H5" i="2" s="1"/>
  <c r="J5" i="2"/>
  <c r="G4" i="2"/>
  <c r="J4" i="2"/>
  <c r="Q51" i="2"/>
  <c r="N51" i="2"/>
  <c r="O51" i="2" s="1"/>
  <c r="Q49" i="2"/>
  <c r="N49" i="2"/>
  <c r="O49" i="2" s="1"/>
  <c r="Q47" i="2"/>
  <c r="N47" i="2"/>
  <c r="O47" i="2" s="1"/>
  <c r="Q45" i="2"/>
  <c r="N45" i="2"/>
  <c r="O45" i="2" s="1"/>
  <c r="Q43" i="2"/>
  <c r="N43" i="2"/>
  <c r="O43" i="2" s="1"/>
  <c r="Q41" i="2"/>
  <c r="N41" i="2"/>
  <c r="O41" i="2" s="1"/>
  <c r="Q39" i="2"/>
  <c r="N39" i="2"/>
  <c r="O39" i="2" s="1"/>
  <c r="Q37" i="2"/>
  <c r="N37" i="2"/>
  <c r="O37" i="2" s="1"/>
  <c r="Q35" i="2"/>
  <c r="N35" i="2"/>
  <c r="O35" i="2" s="1"/>
  <c r="Q33" i="2"/>
  <c r="N33" i="2"/>
  <c r="O33" i="2" s="1"/>
  <c r="Q31" i="2"/>
  <c r="N31" i="2"/>
  <c r="Q29" i="2"/>
  <c r="N29" i="2"/>
  <c r="O29" i="2" s="1"/>
  <c r="Q27" i="2"/>
  <c r="N27" i="2"/>
  <c r="O27" i="2" s="1"/>
  <c r="Q25" i="2"/>
  <c r="N25" i="2"/>
  <c r="O25" i="2" s="1"/>
  <c r="Q23" i="2"/>
  <c r="N23" i="2"/>
  <c r="O23" i="2" s="1"/>
  <c r="Q20" i="2"/>
  <c r="N20" i="2"/>
  <c r="O20" i="2" s="1"/>
  <c r="Q18" i="2"/>
  <c r="N18" i="2"/>
  <c r="Q16" i="2"/>
  <c r="N16" i="2"/>
  <c r="O16" i="2" s="1"/>
  <c r="Q14" i="2"/>
  <c r="N14" i="2"/>
  <c r="O14" i="2" s="1"/>
  <c r="Q12" i="2"/>
  <c r="N12" i="2"/>
  <c r="O12" i="2" s="1"/>
  <c r="Q10" i="2"/>
  <c r="N10" i="2"/>
  <c r="Q8" i="2"/>
  <c r="N8" i="2"/>
  <c r="O8" i="2" s="1"/>
  <c r="Q6" i="2"/>
  <c r="N6" i="2"/>
  <c r="O6" i="2" s="1"/>
  <c r="Q21" i="2"/>
  <c r="N21" i="2"/>
  <c r="O21" i="2" s="1"/>
  <c r="Q4" i="2"/>
  <c r="N4" i="2"/>
  <c r="Q50" i="2"/>
  <c r="N50" i="2"/>
  <c r="O50" i="2" s="1"/>
  <c r="Q48" i="2"/>
  <c r="N48" i="2"/>
  <c r="O48" i="2" s="1"/>
  <c r="Q46" i="2"/>
  <c r="N46" i="2"/>
  <c r="O46" i="2" s="1"/>
  <c r="Q44" i="2"/>
  <c r="N44" i="2"/>
  <c r="Q42" i="2"/>
  <c r="N42" i="2"/>
  <c r="O42" i="2" s="1"/>
  <c r="Q40" i="2"/>
  <c r="N40" i="2"/>
  <c r="O40" i="2" s="1"/>
  <c r="Q38" i="2"/>
  <c r="N38" i="2"/>
  <c r="O38" i="2" s="1"/>
  <c r="Q36" i="2"/>
  <c r="N36" i="2"/>
  <c r="Q34" i="2"/>
  <c r="N34" i="2"/>
  <c r="O34" i="2" s="1"/>
  <c r="Q32" i="2"/>
  <c r="N32" i="2"/>
  <c r="O32" i="2" s="1"/>
  <c r="Q30" i="2"/>
  <c r="N30" i="2"/>
  <c r="O30" i="2" s="1"/>
  <c r="Q28" i="2"/>
  <c r="N28" i="2"/>
  <c r="O28" i="2" s="1"/>
  <c r="Q26" i="2"/>
  <c r="N26" i="2"/>
  <c r="O26" i="2" s="1"/>
  <c r="Q24" i="2"/>
  <c r="N24" i="2"/>
  <c r="Q22" i="2"/>
  <c r="N22" i="2"/>
  <c r="O22" i="2" s="1"/>
  <c r="Q19" i="2"/>
  <c r="N19" i="2"/>
  <c r="O19" i="2" s="1"/>
  <c r="Q17" i="2"/>
  <c r="N17" i="2"/>
  <c r="O17" i="2" s="1"/>
  <c r="Q15" i="2"/>
  <c r="N15" i="2"/>
  <c r="O15" i="2" s="1"/>
  <c r="Q13" i="2"/>
  <c r="N13" i="2"/>
  <c r="O13" i="2" s="1"/>
  <c r="Q11" i="2"/>
  <c r="N11" i="2"/>
  <c r="O11" i="2" s="1"/>
  <c r="Q9" i="2"/>
  <c r="N9" i="2"/>
  <c r="O9" i="2" s="1"/>
  <c r="Q7" i="2"/>
  <c r="N7" i="2"/>
  <c r="O7" i="2" s="1"/>
  <c r="Q5" i="2"/>
  <c r="N5" i="2"/>
  <c r="O5" i="2" s="1"/>
  <c r="I24" i="2"/>
  <c r="G24" i="2"/>
  <c r="I22" i="2"/>
  <c r="G22" i="2"/>
  <c r="H22" i="2" s="1"/>
  <c r="L20" i="2"/>
  <c r="G20" i="2"/>
  <c r="H20" i="2" s="1"/>
  <c r="I18" i="2"/>
  <c r="G18" i="2"/>
  <c r="L16" i="2"/>
  <c r="G16" i="2"/>
  <c r="H16" i="2" s="1"/>
  <c r="I14" i="2"/>
  <c r="G14" i="2"/>
  <c r="H14" i="2" s="1"/>
  <c r="L12" i="2"/>
  <c r="G12" i="2"/>
  <c r="H12" i="2" s="1"/>
  <c r="L10" i="2"/>
  <c r="G10" i="2"/>
  <c r="L8" i="2"/>
  <c r="G8" i="2"/>
  <c r="H8" i="2" s="1"/>
  <c r="L6" i="2"/>
  <c r="G6" i="2"/>
  <c r="H6" i="2" s="1"/>
  <c r="K51" i="2"/>
  <c r="G51" i="2"/>
  <c r="H51" i="2" s="1"/>
  <c r="I49" i="2"/>
  <c r="G49" i="2"/>
  <c r="H49" i="2" s="1"/>
  <c r="I47" i="2"/>
  <c r="G47" i="2"/>
  <c r="H47" i="2" s="1"/>
  <c r="I45" i="2"/>
  <c r="G45" i="2"/>
  <c r="H45" i="2" s="1"/>
  <c r="I43" i="2"/>
  <c r="G43" i="2"/>
  <c r="H43" i="2" s="1"/>
  <c r="I41" i="2"/>
  <c r="G41" i="2"/>
  <c r="H41" i="2" s="1"/>
  <c r="G39" i="2"/>
  <c r="H39" i="2" s="1"/>
  <c r="I37" i="2"/>
  <c r="G37" i="2"/>
  <c r="H37" i="2" s="1"/>
  <c r="K35" i="2"/>
  <c r="G35" i="2"/>
  <c r="H35" i="2" s="1"/>
  <c r="I33" i="2"/>
  <c r="G33" i="2"/>
  <c r="H33" i="2" s="1"/>
  <c r="I31" i="2"/>
  <c r="G31" i="2"/>
  <c r="I29" i="2"/>
  <c r="G29" i="2"/>
  <c r="H29" i="2" s="1"/>
  <c r="I27" i="2"/>
  <c r="G27" i="2"/>
  <c r="H27" i="2" s="1"/>
  <c r="I25" i="2"/>
  <c r="G25" i="2"/>
  <c r="H25" i="2" s="1"/>
  <c r="K31" i="2"/>
  <c r="I23" i="2"/>
  <c r="G23" i="2"/>
  <c r="H23" i="2" s="1"/>
  <c r="I21" i="2"/>
  <c r="G21" i="2"/>
  <c r="H21" i="2" s="1"/>
  <c r="I19" i="2"/>
  <c r="G19" i="2"/>
  <c r="H19" i="2" s="1"/>
  <c r="I17" i="2"/>
  <c r="G17" i="2"/>
  <c r="H17" i="2" s="1"/>
  <c r="G15" i="2"/>
  <c r="H15" i="2" s="1"/>
  <c r="I13" i="2"/>
  <c r="G13" i="2"/>
  <c r="H13" i="2" s="1"/>
  <c r="I11" i="2"/>
  <c r="G11" i="2"/>
  <c r="H11" i="2" s="1"/>
  <c r="L7" i="2"/>
  <c r="G7" i="2"/>
  <c r="H7" i="2" s="1"/>
  <c r="I50" i="2"/>
  <c r="G50" i="2"/>
  <c r="H50" i="2" s="1"/>
  <c r="I48" i="2"/>
  <c r="G48" i="2"/>
  <c r="H48" i="2" s="1"/>
  <c r="I46" i="2"/>
  <c r="G46" i="2"/>
  <c r="H46" i="2" s="1"/>
  <c r="I44" i="2"/>
  <c r="G44" i="2"/>
  <c r="I42" i="2"/>
  <c r="G42" i="2"/>
  <c r="H42" i="2" s="1"/>
  <c r="I40" i="2"/>
  <c r="G40" i="2"/>
  <c r="H40" i="2" s="1"/>
  <c r="I38" i="2"/>
  <c r="G38" i="2"/>
  <c r="H38" i="2" s="1"/>
  <c r="I36" i="2"/>
  <c r="G36" i="2"/>
  <c r="I34" i="2"/>
  <c r="G34" i="2"/>
  <c r="H34" i="2" s="1"/>
  <c r="I32" i="2"/>
  <c r="G32" i="2"/>
  <c r="H32" i="2" s="1"/>
  <c r="I30" i="2"/>
  <c r="G30" i="2"/>
  <c r="H30" i="2" s="1"/>
  <c r="I28" i="2"/>
  <c r="G28" i="2"/>
  <c r="H28" i="2" s="1"/>
  <c r="I26" i="2"/>
  <c r="G26" i="2"/>
  <c r="H26" i="2" s="1"/>
  <c r="K47" i="2"/>
  <c r="K43" i="2"/>
  <c r="K27" i="2"/>
  <c r="K39" i="2"/>
  <c r="L18" i="2"/>
  <c r="I51" i="2"/>
  <c r="I39" i="2"/>
  <c r="I35" i="2"/>
  <c r="K15" i="2"/>
  <c r="L15" i="2"/>
  <c r="K49" i="2"/>
  <c r="K45" i="2"/>
  <c r="K37" i="2"/>
  <c r="K29" i="2"/>
  <c r="L14" i="2"/>
  <c r="L4" i="2"/>
  <c r="K4" i="2"/>
  <c r="I4" i="2"/>
  <c r="K21" i="2"/>
  <c r="L17" i="2"/>
  <c r="K17" i="2"/>
  <c r="L13" i="2"/>
  <c r="K13" i="2"/>
  <c r="L9" i="2"/>
  <c r="K9" i="2"/>
  <c r="L5" i="2"/>
  <c r="K5" i="2"/>
  <c r="I5" i="2"/>
  <c r="K48" i="2"/>
  <c r="K44" i="2"/>
  <c r="K40" i="2"/>
  <c r="K36" i="2"/>
  <c r="K32" i="2"/>
  <c r="K28" i="2"/>
  <c r="I15" i="2"/>
  <c r="I10" i="2"/>
  <c r="K19" i="2"/>
  <c r="K11" i="2"/>
  <c r="L11" i="2"/>
  <c r="I7" i="2"/>
  <c r="K23" i="2"/>
  <c r="K7" i="2"/>
  <c r="K41" i="2"/>
  <c r="K33" i="2"/>
  <c r="K25" i="2"/>
  <c r="I6" i="2"/>
  <c r="K46" i="2"/>
  <c r="K38" i="2"/>
  <c r="K30" i="2"/>
  <c r="K22" i="2"/>
  <c r="K14" i="2"/>
  <c r="K6" i="2"/>
  <c r="I9" i="2"/>
  <c r="K50" i="2"/>
  <c r="K42" i="2"/>
  <c r="K34" i="2"/>
  <c r="K26" i="2"/>
  <c r="K18" i="2"/>
  <c r="K10" i="2"/>
  <c r="I20" i="2"/>
  <c r="I16" i="2"/>
  <c r="I12" i="2"/>
  <c r="I8" i="2"/>
  <c r="K24" i="2"/>
  <c r="K20" i="2"/>
  <c r="K16" i="2"/>
  <c r="K12" i="2"/>
  <c r="K8" i="2"/>
  <c r="L8" i="4"/>
  <c r="L18" i="4"/>
  <c r="L16" i="4"/>
  <c r="L12" i="4"/>
  <c r="L10" i="4"/>
  <c r="L27" i="4"/>
  <c r="L47" i="4"/>
  <c r="L17" i="4"/>
  <c r="L19" i="4"/>
  <c r="L44" i="4"/>
  <c r="L51" i="4"/>
  <c r="L25" i="4"/>
  <c r="L38" i="4"/>
  <c r="L13" i="4"/>
  <c r="L20" i="4"/>
  <c r="L36" i="4"/>
  <c r="L15" i="4"/>
  <c r="L24" i="4"/>
  <c r="L46" i="4"/>
  <c r="L41" i="4"/>
  <c r="L40" i="4"/>
  <c r="L29" i="4"/>
  <c r="L30" i="4"/>
  <c r="L32" i="4"/>
  <c r="L21" i="4"/>
  <c r="L37" i="4"/>
  <c r="L50" i="4"/>
  <c r="L49" i="4"/>
  <c r="L53" i="4"/>
  <c r="L43" i="4"/>
  <c r="L42" i="4"/>
  <c r="L11" i="4"/>
  <c r="L9" i="4"/>
  <c r="L14" i="4"/>
  <c r="L34" i="4"/>
  <c r="L26" i="4"/>
  <c r="L6" i="4"/>
  <c r="L28" i="4"/>
  <c r="L23" i="4"/>
  <c r="L22" i="4"/>
  <c r="L31" i="4"/>
  <c r="L39" i="4"/>
  <c r="L33" i="4"/>
  <c r="L48" i="4"/>
  <c r="L52" i="4"/>
  <c r="L45" i="4"/>
  <c r="L35" i="4"/>
  <c r="L7" i="4"/>
  <c r="H129" i="15" l="1"/>
  <c r="H183" i="15"/>
  <c r="H182" i="15"/>
  <c r="H130" i="15"/>
  <c r="J2" i="22" s="1"/>
  <c r="H175" i="15"/>
  <c r="H162" i="15"/>
  <c r="H146" i="15"/>
  <c r="H160" i="15"/>
  <c r="H133" i="15"/>
  <c r="H180" i="15"/>
  <c r="H167" i="15"/>
  <c r="H154" i="15"/>
  <c r="H140" i="15"/>
  <c r="H177" i="15"/>
  <c r="H164" i="15"/>
  <c r="H150" i="15"/>
  <c r="H139" i="15"/>
  <c r="H137" i="15"/>
  <c r="H173" i="15"/>
  <c r="H143" i="15"/>
  <c r="P112" i="22"/>
  <c r="M112" i="22"/>
  <c r="N112" i="22" s="1"/>
  <c r="Q112" i="22" s="1"/>
  <c r="P131" i="22"/>
  <c r="M131" i="22"/>
  <c r="N131" i="22" s="1"/>
  <c r="Q131" i="22" s="1"/>
  <c r="P148" i="22"/>
  <c r="M148" i="22"/>
  <c r="N148" i="22" s="1"/>
  <c r="Q148" i="22" s="1"/>
  <c r="P159" i="22"/>
  <c r="M159" i="22"/>
  <c r="N159" i="22" s="1"/>
  <c r="Q159" i="22" s="1"/>
  <c r="P123" i="22"/>
  <c r="M123" i="22"/>
  <c r="N123" i="22" s="1"/>
  <c r="Q123" i="22" s="1"/>
  <c r="P133" i="22"/>
  <c r="M133" i="22"/>
  <c r="N133" i="22" s="1"/>
  <c r="Q133" i="22" s="1"/>
  <c r="P113" i="22"/>
  <c r="M113" i="22"/>
  <c r="N113" i="22" s="1"/>
  <c r="Q113" i="22" s="1"/>
  <c r="P121" i="22"/>
  <c r="M121" i="22"/>
  <c r="N121" i="22" s="1"/>
  <c r="Q121" i="22" s="1"/>
  <c r="P146" i="22"/>
  <c r="M146" i="22"/>
  <c r="N146" i="22" s="1"/>
  <c r="Q146" i="22" s="1"/>
  <c r="P154" i="22"/>
  <c r="M154" i="22"/>
  <c r="N154" i="22" s="1"/>
  <c r="Q154" i="22" s="1"/>
  <c r="P149" i="22"/>
  <c r="M149" i="22"/>
  <c r="N149" i="22" s="1"/>
  <c r="Q149" i="22" s="1"/>
  <c r="P150" i="22"/>
  <c r="M150" i="22"/>
  <c r="N150" i="22" s="1"/>
  <c r="Q150" i="22" s="1"/>
  <c r="P145" i="22"/>
  <c r="M145" i="22"/>
  <c r="N145" i="22" s="1"/>
  <c r="Q145" i="22" s="1"/>
  <c r="P153" i="22"/>
  <c r="M153" i="22"/>
  <c r="N153" i="22" s="1"/>
  <c r="Q153" i="22" s="1"/>
  <c r="P135" i="22"/>
  <c r="M135" i="22"/>
  <c r="N135" i="22" s="1"/>
  <c r="Q135" i="22" s="1"/>
  <c r="P120" i="22"/>
  <c r="M120" i="22"/>
  <c r="N120" i="22" s="1"/>
  <c r="Q120" i="22" s="1"/>
  <c r="P158" i="22"/>
  <c r="M158" i="22"/>
  <c r="N158" i="22" s="1"/>
  <c r="Q158" i="22" s="1"/>
  <c r="P119" i="22"/>
  <c r="M119" i="22"/>
  <c r="N119" i="22" s="1"/>
  <c r="Q119" i="22" s="1"/>
  <c r="P132" i="22"/>
  <c r="M132" i="22"/>
  <c r="N132" i="22" s="1"/>
  <c r="Q132" i="22" s="1"/>
  <c r="P140" i="22"/>
  <c r="M140" i="22"/>
  <c r="N140" i="22" s="1"/>
  <c r="Q140" i="22" s="1"/>
  <c r="P124" i="22"/>
  <c r="M124" i="22"/>
  <c r="N124" i="22" s="1"/>
  <c r="Q124" i="22" s="1"/>
  <c r="P126" i="22"/>
  <c r="M126" i="22"/>
  <c r="N126" i="22" s="1"/>
  <c r="Q126" i="22" s="1"/>
  <c r="P128" i="22"/>
  <c r="M128" i="22"/>
  <c r="N128" i="22" s="1"/>
  <c r="Q128" i="22" s="1"/>
  <c r="H131" i="15"/>
  <c r="J56" i="22" s="1"/>
  <c r="H169" i="15"/>
  <c r="H141" i="15"/>
  <c r="G52" i="2"/>
  <c r="H168" i="15"/>
  <c r="H152" i="15"/>
  <c r="H144" i="15"/>
  <c r="H178" i="15"/>
  <c r="H155" i="15"/>
  <c r="H147" i="15"/>
  <c r="H158" i="15"/>
  <c r="H151" i="15"/>
  <c r="H156" i="15"/>
  <c r="H148" i="15"/>
  <c r="H136" i="15"/>
  <c r="E164" i="22" s="1"/>
  <c r="P139" i="22"/>
  <c r="M139" i="22"/>
  <c r="N139" i="22" s="1"/>
  <c r="Q139" i="22" s="1"/>
  <c r="P115" i="22"/>
  <c r="M115" i="22"/>
  <c r="N115" i="22" s="1"/>
  <c r="Q115" i="22" s="1"/>
  <c r="P130" i="22"/>
  <c r="M130" i="22"/>
  <c r="N130" i="22" s="1"/>
  <c r="Q130" i="22" s="1"/>
  <c r="P134" i="22"/>
  <c r="M134" i="22"/>
  <c r="N134" i="22" s="1"/>
  <c r="Q134" i="22" s="1"/>
  <c r="P144" i="22"/>
  <c r="M144" i="22"/>
  <c r="N144" i="22" s="1"/>
  <c r="Q144" i="22" s="1"/>
  <c r="P127" i="22"/>
  <c r="M127" i="22"/>
  <c r="N127" i="22" s="1"/>
  <c r="Q127" i="22" s="1"/>
  <c r="P114" i="22"/>
  <c r="M114" i="22"/>
  <c r="N114" i="22" s="1"/>
  <c r="Q114" i="22" s="1"/>
  <c r="P151" i="22"/>
  <c r="M151" i="22"/>
  <c r="N151" i="22" s="1"/>
  <c r="Q151" i="22" s="1"/>
  <c r="P118" i="22"/>
  <c r="M118" i="22"/>
  <c r="N118" i="22" s="1"/>
  <c r="Q118" i="22" s="1"/>
  <c r="P155" i="22"/>
  <c r="M155" i="22"/>
  <c r="N155" i="22" s="1"/>
  <c r="Q155" i="22" s="1"/>
  <c r="P125" i="22"/>
  <c r="M125" i="22"/>
  <c r="N125" i="22" s="1"/>
  <c r="Q125" i="22" s="1"/>
  <c r="P122" i="22"/>
  <c r="M122" i="22"/>
  <c r="N122" i="22" s="1"/>
  <c r="Q122" i="22" s="1"/>
  <c r="P137" i="22"/>
  <c r="M137" i="22"/>
  <c r="N137" i="22" s="1"/>
  <c r="Q137" i="22" s="1"/>
  <c r="P129" i="22"/>
  <c r="M129" i="22"/>
  <c r="N129" i="22" s="1"/>
  <c r="Q129" i="22" s="1"/>
  <c r="P138" i="22"/>
  <c r="M138" i="22"/>
  <c r="N138" i="22" s="1"/>
  <c r="Q138" i="22" s="1"/>
  <c r="P141" i="22"/>
  <c r="M141" i="22"/>
  <c r="N141" i="22" s="1"/>
  <c r="Q141" i="22" s="1"/>
  <c r="M142" i="22"/>
  <c r="N142" i="22" s="1"/>
  <c r="Q142" i="22" s="1"/>
  <c r="P142" i="22"/>
  <c r="M143" i="22"/>
  <c r="N143" i="22" s="1"/>
  <c r="Q143" i="22" s="1"/>
  <c r="P136" i="22"/>
  <c r="M136" i="22"/>
  <c r="N136" i="22" s="1"/>
  <c r="Q136" i="22" s="1"/>
  <c r="P156" i="22"/>
  <c r="M156" i="22"/>
  <c r="N156" i="22" s="1"/>
  <c r="Q156" i="22" s="1"/>
  <c r="P116" i="22"/>
  <c r="M116" i="22"/>
  <c r="N116" i="22" s="1"/>
  <c r="Q116" i="22" s="1"/>
  <c r="P157" i="22"/>
  <c r="M157" i="22"/>
  <c r="N157" i="22" s="1"/>
  <c r="Q157" i="22" s="1"/>
  <c r="P147" i="22"/>
  <c r="M147" i="22"/>
  <c r="N147" i="22" s="1"/>
  <c r="Q147" i="22" s="1"/>
  <c r="P152" i="22"/>
  <c r="M152" i="22"/>
  <c r="N152" i="22" s="1"/>
  <c r="Q152" i="22" s="1"/>
  <c r="P117" i="22"/>
  <c r="M117" i="22"/>
  <c r="N117" i="22" s="1"/>
  <c r="Q117" i="22" s="1"/>
  <c r="N52" i="2"/>
  <c r="E218" i="22"/>
  <c r="H36" i="2"/>
  <c r="O36" i="2"/>
  <c r="T52" i="2"/>
  <c r="Z52" i="2"/>
  <c r="H44" i="2"/>
  <c r="H24" i="2"/>
  <c r="O24" i="2"/>
  <c r="O44" i="2"/>
  <c r="O10" i="2"/>
  <c r="O18" i="2"/>
  <c r="O31" i="2"/>
  <c r="H18" i="2"/>
  <c r="H31" i="2"/>
  <c r="W52" i="2"/>
  <c r="AG52" i="2"/>
  <c r="AE55" i="2" s="1"/>
  <c r="H10" i="2"/>
  <c r="Y54" i="2"/>
  <c r="O4" i="2"/>
  <c r="V53" i="2"/>
  <c r="V54" i="2" s="1"/>
  <c r="AB53" i="2"/>
  <c r="AB54" i="2" s="1"/>
  <c r="H4" i="2"/>
  <c r="L54" i="4"/>
  <c r="M13" i="4" s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S152" i="22" l="1"/>
  <c r="R152" i="22"/>
  <c r="R157" i="22"/>
  <c r="S157" i="22"/>
  <c r="S156" i="22"/>
  <c r="R156" i="22"/>
  <c r="R143" i="22"/>
  <c r="S143" i="22"/>
  <c r="S126" i="22"/>
  <c r="R126" i="22"/>
  <c r="S140" i="22"/>
  <c r="R140" i="22"/>
  <c r="R119" i="22"/>
  <c r="S119" i="22"/>
  <c r="S120" i="22"/>
  <c r="R120" i="22"/>
  <c r="R153" i="22"/>
  <c r="S153" i="22"/>
  <c r="S150" i="22"/>
  <c r="R150" i="22"/>
  <c r="R154" i="22"/>
  <c r="S154" i="22"/>
  <c r="R121" i="22"/>
  <c r="S121" i="22"/>
  <c r="S133" i="22"/>
  <c r="R133" i="22"/>
  <c r="S159" i="22"/>
  <c r="R159" i="22"/>
  <c r="R131" i="22"/>
  <c r="S131" i="22"/>
  <c r="S138" i="22"/>
  <c r="R138" i="22"/>
  <c r="S137" i="22"/>
  <c r="R137" i="22"/>
  <c r="S125" i="22"/>
  <c r="R125" i="22"/>
  <c r="S118" i="22"/>
  <c r="R118" i="22"/>
  <c r="S114" i="22"/>
  <c r="R114" i="22"/>
  <c r="S144" i="22"/>
  <c r="R144" i="22"/>
  <c r="S130" i="22"/>
  <c r="R130" i="22"/>
  <c r="S139" i="22"/>
  <c r="R139" i="22"/>
  <c r="J63" i="22"/>
  <c r="K63" i="22" s="1"/>
  <c r="J74" i="22"/>
  <c r="K74" i="22" s="1"/>
  <c r="J90" i="22"/>
  <c r="K90" i="22" s="1"/>
  <c r="J73" i="22"/>
  <c r="K73" i="22" s="1"/>
  <c r="J89" i="22"/>
  <c r="K89" i="22" s="1"/>
  <c r="J75" i="22"/>
  <c r="K75" i="22" s="1"/>
  <c r="J100" i="22"/>
  <c r="K100" i="22" s="1"/>
  <c r="J84" i="22"/>
  <c r="K84" i="22" s="1"/>
  <c r="J72" i="22"/>
  <c r="K72" i="22" s="1"/>
  <c r="J99" i="22"/>
  <c r="K99" i="22" s="1"/>
  <c r="J105" i="22"/>
  <c r="K105" i="22" s="1"/>
  <c r="J79" i="22"/>
  <c r="K79" i="22" s="1"/>
  <c r="J66" i="22"/>
  <c r="K66" i="22" s="1"/>
  <c r="J82" i="22"/>
  <c r="K82" i="22" s="1"/>
  <c r="J65" i="22"/>
  <c r="K65" i="22" s="1"/>
  <c r="J81" i="22"/>
  <c r="K81" i="22" s="1"/>
  <c r="J59" i="22"/>
  <c r="K59" i="22" s="1"/>
  <c r="J91" i="22"/>
  <c r="K91" i="22" s="1"/>
  <c r="J69" i="22"/>
  <c r="K69" i="22" s="1"/>
  <c r="J96" i="22"/>
  <c r="K96" i="22" s="1"/>
  <c r="J64" i="22"/>
  <c r="K64" i="22" s="1"/>
  <c r="J102" i="22"/>
  <c r="K102" i="22" s="1"/>
  <c r="J94" i="22"/>
  <c r="K94" i="22" s="1"/>
  <c r="J62" i="22"/>
  <c r="K62" i="22" s="1"/>
  <c r="J78" i="22"/>
  <c r="K78" i="22" s="1"/>
  <c r="J61" i="22"/>
  <c r="K61" i="22" s="1"/>
  <c r="J77" i="22"/>
  <c r="K77" i="22" s="1"/>
  <c r="J93" i="22"/>
  <c r="K93" i="22" s="1"/>
  <c r="J83" i="22"/>
  <c r="K83" i="22" s="1"/>
  <c r="J104" i="22"/>
  <c r="K104" i="22" s="1"/>
  <c r="J92" i="22"/>
  <c r="K92" i="22" s="1"/>
  <c r="J80" i="22"/>
  <c r="K80" i="22" s="1"/>
  <c r="J103" i="22"/>
  <c r="K103" i="22" s="1"/>
  <c r="J98" i="22"/>
  <c r="K98" i="22" s="1"/>
  <c r="J58" i="22"/>
  <c r="K58" i="22" s="1"/>
  <c r="J60" i="22"/>
  <c r="K60" i="22" s="1"/>
  <c r="J101" i="22"/>
  <c r="K101" i="22" s="1"/>
  <c r="J88" i="22"/>
  <c r="K88" i="22" s="1"/>
  <c r="J76" i="22"/>
  <c r="K76" i="22" s="1"/>
  <c r="J71" i="22"/>
  <c r="K71" i="22" s="1"/>
  <c r="J87" i="22"/>
  <c r="K87" i="22" s="1"/>
  <c r="J70" i="22"/>
  <c r="K70" i="22" s="1"/>
  <c r="J86" i="22"/>
  <c r="K86" i="22" s="1"/>
  <c r="J85" i="22"/>
  <c r="K85" i="22" s="1"/>
  <c r="J67" i="22"/>
  <c r="K67" i="22" s="1"/>
  <c r="J68" i="22"/>
  <c r="K68" i="22" s="1"/>
  <c r="J95" i="22"/>
  <c r="K95" i="22" s="1"/>
  <c r="J97" i="22"/>
  <c r="K97" i="22" s="1"/>
  <c r="S117" i="22"/>
  <c r="R117" i="22"/>
  <c r="R147" i="22"/>
  <c r="S147" i="22"/>
  <c r="S116" i="22"/>
  <c r="R116" i="22"/>
  <c r="R136" i="22"/>
  <c r="S136" i="22"/>
  <c r="R142" i="22"/>
  <c r="S142" i="22"/>
  <c r="S128" i="22"/>
  <c r="R128" i="22"/>
  <c r="S124" i="22"/>
  <c r="R124" i="22"/>
  <c r="S132" i="22"/>
  <c r="R132" i="22"/>
  <c r="R158" i="22"/>
  <c r="S158" i="22"/>
  <c r="R135" i="22"/>
  <c r="S135" i="22"/>
  <c r="R145" i="22"/>
  <c r="S145" i="22"/>
  <c r="R149" i="22"/>
  <c r="S149" i="22"/>
  <c r="S146" i="22"/>
  <c r="R146" i="22"/>
  <c r="R113" i="22"/>
  <c r="S113" i="22"/>
  <c r="R123" i="22"/>
  <c r="S123" i="22"/>
  <c r="S148" i="22"/>
  <c r="R148" i="22"/>
  <c r="S112" i="22"/>
  <c r="R112" i="22"/>
  <c r="H52" i="2"/>
  <c r="R141" i="22"/>
  <c r="S141" i="22"/>
  <c r="S129" i="22"/>
  <c r="R129" i="22"/>
  <c r="R122" i="22"/>
  <c r="S122" i="22"/>
  <c r="R155" i="22"/>
  <c r="S155" i="22"/>
  <c r="R151" i="22"/>
  <c r="S151" i="22"/>
  <c r="R127" i="22"/>
  <c r="S127" i="22"/>
  <c r="S134" i="22"/>
  <c r="R134" i="22"/>
  <c r="S115" i="22"/>
  <c r="R115" i="22"/>
  <c r="P161" i="22"/>
  <c r="N225" i="22"/>
  <c r="O225" i="22" s="1"/>
  <c r="N241" i="22"/>
  <c r="O241" i="22" s="1"/>
  <c r="N257" i="22"/>
  <c r="O257" i="22" s="1"/>
  <c r="N226" i="22"/>
  <c r="O226" i="22" s="1"/>
  <c r="N242" i="22"/>
  <c r="O242" i="22" s="1"/>
  <c r="N258" i="22"/>
  <c r="O258" i="22" s="1"/>
  <c r="N231" i="22"/>
  <c r="O231" i="22" s="1"/>
  <c r="N263" i="22"/>
  <c r="O263" i="22" s="1"/>
  <c r="N248" i="22"/>
  <c r="O248" i="22" s="1"/>
  <c r="N251" i="22"/>
  <c r="O251" i="22" s="1"/>
  <c r="N252" i="22"/>
  <c r="O252" i="22" s="1"/>
  <c r="N259" i="22"/>
  <c r="O259" i="22" s="1"/>
  <c r="E234" i="22"/>
  <c r="F234" i="22" s="1"/>
  <c r="G234" i="22" s="1"/>
  <c r="H234" i="22" s="1"/>
  <c r="E238" i="22"/>
  <c r="F238" i="22" s="1"/>
  <c r="G238" i="22" s="1"/>
  <c r="H238" i="22" s="1"/>
  <c r="E250" i="22"/>
  <c r="F250" i="22" s="1"/>
  <c r="G250" i="22" s="1"/>
  <c r="H250" i="22" s="1"/>
  <c r="E221" i="22"/>
  <c r="F221" i="22" s="1"/>
  <c r="G221" i="22" s="1"/>
  <c r="H221" i="22" s="1"/>
  <c r="E237" i="22"/>
  <c r="F237" i="22" s="1"/>
  <c r="G237" i="22" s="1"/>
  <c r="H237" i="22" s="1"/>
  <c r="E253" i="22"/>
  <c r="F253" i="22" s="1"/>
  <c r="G253" i="22" s="1"/>
  <c r="H253" i="22" s="1"/>
  <c r="E224" i="22"/>
  <c r="F224" i="22" s="1"/>
  <c r="G224" i="22" s="1"/>
  <c r="H224" i="22" s="1"/>
  <c r="E240" i="22"/>
  <c r="F240" i="22" s="1"/>
  <c r="G240" i="22" s="1"/>
  <c r="H240" i="22" s="1"/>
  <c r="E256" i="22"/>
  <c r="F256" i="22" s="1"/>
  <c r="G256" i="22" s="1"/>
  <c r="H256" i="22" s="1"/>
  <c r="E267" i="22"/>
  <c r="F267" i="22" s="1"/>
  <c r="G267" i="22" s="1"/>
  <c r="H267" i="22" s="1"/>
  <c r="E235" i="22"/>
  <c r="F235" i="22" s="1"/>
  <c r="G235" i="22" s="1"/>
  <c r="H235" i="22" s="1"/>
  <c r="N229" i="22"/>
  <c r="O229" i="22" s="1"/>
  <c r="N245" i="22"/>
  <c r="O245" i="22" s="1"/>
  <c r="N261" i="22"/>
  <c r="O261" i="22" s="1"/>
  <c r="N230" i="22"/>
  <c r="O230" i="22" s="1"/>
  <c r="N246" i="22"/>
  <c r="O246" i="22" s="1"/>
  <c r="N262" i="22"/>
  <c r="O262" i="22" s="1"/>
  <c r="N239" i="22"/>
  <c r="O239" i="22" s="1"/>
  <c r="N224" i="22"/>
  <c r="O224" i="22" s="1"/>
  <c r="N256" i="22"/>
  <c r="O256" i="22" s="1"/>
  <c r="N267" i="22"/>
  <c r="O267" i="22" s="1"/>
  <c r="N220" i="22"/>
  <c r="O220" i="22" s="1"/>
  <c r="N228" i="22"/>
  <c r="O228" i="22" s="1"/>
  <c r="E255" i="22"/>
  <c r="F255" i="22" s="1"/>
  <c r="G255" i="22" s="1"/>
  <c r="H255" i="22" s="1"/>
  <c r="E223" i="22"/>
  <c r="F223" i="22" s="1"/>
  <c r="G223" i="22" s="1"/>
  <c r="H223" i="22" s="1"/>
  <c r="E239" i="22"/>
  <c r="F239" i="22" s="1"/>
  <c r="G239" i="22" s="1"/>
  <c r="H239" i="22" s="1"/>
  <c r="E225" i="22"/>
  <c r="F225" i="22" s="1"/>
  <c r="G225" i="22" s="1"/>
  <c r="H225" i="22" s="1"/>
  <c r="E241" i="22"/>
  <c r="F241" i="22" s="1"/>
  <c r="G241" i="22" s="1"/>
  <c r="H241" i="22" s="1"/>
  <c r="E257" i="22"/>
  <c r="F257" i="22" s="1"/>
  <c r="G257" i="22" s="1"/>
  <c r="H257" i="22" s="1"/>
  <c r="E228" i="22"/>
  <c r="F228" i="22" s="1"/>
  <c r="G228" i="22" s="1"/>
  <c r="H228" i="22" s="1"/>
  <c r="E244" i="22"/>
  <c r="F244" i="22" s="1"/>
  <c r="G244" i="22" s="1"/>
  <c r="H244" i="22" s="1"/>
  <c r="E260" i="22"/>
  <c r="F260" i="22" s="1"/>
  <c r="G260" i="22" s="1"/>
  <c r="H260" i="22" s="1"/>
  <c r="E259" i="22"/>
  <c r="F259" i="22" s="1"/>
  <c r="G259" i="22" s="1"/>
  <c r="H259" i="22" s="1"/>
  <c r="E227" i="22"/>
  <c r="F227" i="22" s="1"/>
  <c r="G227" i="22" s="1"/>
  <c r="H227" i="22" s="1"/>
  <c r="E226" i="22"/>
  <c r="F226" i="22" s="1"/>
  <c r="G226" i="22" s="1"/>
  <c r="H226" i="22" s="1"/>
  <c r="N233" i="22"/>
  <c r="O233" i="22" s="1"/>
  <c r="N249" i="22"/>
  <c r="O249" i="22" s="1"/>
  <c r="N265" i="22"/>
  <c r="O265" i="22" s="1"/>
  <c r="N234" i="22"/>
  <c r="O234" i="22" s="1"/>
  <c r="N250" i="22"/>
  <c r="O250" i="22" s="1"/>
  <c r="N266" i="22"/>
  <c r="O266" i="22" s="1"/>
  <c r="N247" i="22"/>
  <c r="O247" i="22" s="1"/>
  <c r="N232" i="22"/>
  <c r="O232" i="22" s="1"/>
  <c r="N264" i="22"/>
  <c r="O264" i="22" s="1"/>
  <c r="N244" i="22"/>
  <c r="O244" i="22" s="1"/>
  <c r="N227" i="22"/>
  <c r="O227" i="22" s="1"/>
  <c r="N260" i="22"/>
  <c r="O260" i="22" s="1"/>
  <c r="E231" i="22"/>
  <c r="F231" i="22" s="1"/>
  <c r="G231" i="22" s="1"/>
  <c r="H231" i="22" s="1"/>
  <c r="E263" i="22"/>
  <c r="F263" i="22" s="1"/>
  <c r="G263" i="22" s="1"/>
  <c r="H263" i="22" s="1"/>
  <c r="E266" i="22"/>
  <c r="F266" i="22" s="1"/>
  <c r="G266" i="22" s="1"/>
  <c r="H266" i="22" s="1"/>
  <c r="E258" i="22"/>
  <c r="F258" i="22" s="1"/>
  <c r="G258" i="22" s="1"/>
  <c r="H258" i="22" s="1"/>
  <c r="E229" i="22"/>
  <c r="F229" i="22" s="1"/>
  <c r="G229" i="22" s="1"/>
  <c r="H229" i="22" s="1"/>
  <c r="E245" i="22"/>
  <c r="F245" i="22" s="1"/>
  <c r="G245" i="22" s="1"/>
  <c r="H245" i="22" s="1"/>
  <c r="E261" i="22"/>
  <c r="F261" i="22" s="1"/>
  <c r="G261" i="22" s="1"/>
  <c r="H261" i="22" s="1"/>
  <c r="E232" i="22"/>
  <c r="F232" i="22" s="1"/>
  <c r="G232" i="22" s="1"/>
  <c r="H232" i="22" s="1"/>
  <c r="E248" i="22"/>
  <c r="F248" i="22" s="1"/>
  <c r="G248" i="22" s="1"/>
  <c r="H248" i="22" s="1"/>
  <c r="E264" i="22"/>
  <c r="F264" i="22" s="1"/>
  <c r="G264" i="22" s="1"/>
  <c r="H264" i="22" s="1"/>
  <c r="E251" i="22"/>
  <c r="F251" i="22" s="1"/>
  <c r="G251" i="22" s="1"/>
  <c r="H251" i="22" s="1"/>
  <c r="E230" i="22"/>
  <c r="F230" i="22" s="1"/>
  <c r="G230" i="22" s="1"/>
  <c r="H230" i="22" s="1"/>
  <c r="N221" i="22"/>
  <c r="O221" i="22" s="1"/>
  <c r="N237" i="22"/>
  <c r="O237" i="22" s="1"/>
  <c r="N253" i="22"/>
  <c r="O253" i="22" s="1"/>
  <c r="N222" i="22"/>
  <c r="O222" i="22" s="1"/>
  <c r="N238" i="22"/>
  <c r="O238" i="22" s="1"/>
  <c r="N254" i="22"/>
  <c r="O254" i="22" s="1"/>
  <c r="N223" i="22"/>
  <c r="O223" i="22" s="1"/>
  <c r="N255" i="22"/>
  <c r="O255" i="22" s="1"/>
  <c r="N240" i="22"/>
  <c r="O240" i="22" s="1"/>
  <c r="N235" i="22"/>
  <c r="O235" i="22" s="1"/>
  <c r="N236" i="22"/>
  <c r="O236" i="22" s="1"/>
  <c r="N243" i="22"/>
  <c r="O243" i="22" s="1"/>
  <c r="E254" i="22"/>
  <c r="F254" i="22" s="1"/>
  <c r="G254" i="22" s="1"/>
  <c r="H254" i="22" s="1"/>
  <c r="E242" i="22"/>
  <c r="F242" i="22" s="1"/>
  <c r="G242" i="22" s="1"/>
  <c r="H242" i="22" s="1"/>
  <c r="E246" i="22"/>
  <c r="F246" i="22" s="1"/>
  <c r="G246" i="22" s="1"/>
  <c r="H246" i="22" s="1"/>
  <c r="E247" i="22"/>
  <c r="F247" i="22" s="1"/>
  <c r="G247" i="22" s="1"/>
  <c r="H247" i="22" s="1"/>
  <c r="E262" i="22"/>
  <c r="F262" i="22" s="1"/>
  <c r="G262" i="22" s="1"/>
  <c r="H262" i="22" s="1"/>
  <c r="E233" i="22"/>
  <c r="F233" i="22" s="1"/>
  <c r="G233" i="22" s="1"/>
  <c r="H233" i="22" s="1"/>
  <c r="E249" i="22"/>
  <c r="F249" i="22" s="1"/>
  <c r="G249" i="22" s="1"/>
  <c r="H249" i="22" s="1"/>
  <c r="E265" i="22"/>
  <c r="F265" i="22" s="1"/>
  <c r="G265" i="22" s="1"/>
  <c r="H265" i="22" s="1"/>
  <c r="E236" i="22"/>
  <c r="F236" i="22" s="1"/>
  <c r="G236" i="22" s="1"/>
  <c r="H236" i="22" s="1"/>
  <c r="E252" i="22"/>
  <c r="F252" i="22" s="1"/>
  <c r="G252" i="22" s="1"/>
  <c r="H252" i="22" s="1"/>
  <c r="E220" i="22"/>
  <c r="F220" i="22" s="1"/>
  <c r="G220" i="22" s="1"/>
  <c r="H220" i="22" s="1"/>
  <c r="E243" i="22"/>
  <c r="F243" i="22" s="1"/>
  <c r="G243" i="22" s="1"/>
  <c r="H243" i="22" s="1"/>
  <c r="E222" i="22"/>
  <c r="F222" i="22" s="1"/>
  <c r="G222" i="22" s="1"/>
  <c r="H222" i="22" s="1"/>
  <c r="N172" i="22"/>
  <c r="J4" i="22"/>
  <c r="K4" i="22" s="1"/>
  <c r="N193" i="22"/>
  <c r="N182" i="22"/>
  <c r="N190" i="22"/>
  <c r="N170" i="22"/>
  <c r="N186" i="22"/>
  <c r="N203" i="22"/>
  <c r="N195" i="22"/>
  <c r="E169" i="22"/>
  <c r="F169" i="22" s="1"/>
  <c r="E189" i="22"/>
  <c r="F189" i="22" s="1"/>
  <c r="E205" i="22"/>
  <c r="F205" i="22" s="1"/>
  <c r="E209" i="22"/>
  <c r="F209" i="22" s="1"/>
  <c r="E182" i="22"/>
  <c r="F182" i="22" s="1"/>
  <c r="E198" i="22"/>
  <c r="F198" i="22" s="1"/>
  <c r="E202" i="22"/>
  <c r="F202" i="22" s="1"/>
  <c r="E175" i="22"/>
  <c r="F175" i="22" s="1"/>
  <c r="E191" i="22"/>
  <c r="F191" i="22" s="1"/>
  <c r="E199" i="22"/>
  <c r="F199" i="22" s="1"/>
  <c r="E168" i="22"/>
  <c r="F168" i="22" s="1"/>
  <c r="E172" i="22"/>
  <c r="F172" i="22" s="1"/>
  <c r="E188" i="22"/>
  <c r="F188" i="22" s="1"/>
  <c r="E192" i="22"/>
  <c r="F192" i="22" s="1"/>
  <c r="E208" i="22"/>
  <c r="F208" i="22" s="1"/>
  <c r="T60" i="2"/>
  <c r="T58" i="2"/>
  <c r="O52" i="2"/>
  <c r="O60" i="2" s="1"/>
  <c r="H60" i="2"/>
  <c r="S53" i="2"/>
  <c r="S54" i="2" s="1"/>
  <c r="G66" i="2"/>
  <c r="V55" i="2"/>
  <c r="S55" i="2"/>
  <c r="AB55" i="2"/>
  <c r="Y55" i="2"/>
  <c r="M8" i="4"/>
  <c r="M6" i="4"/>
  <c r="M12" i="4"/>
  <c r="M10" i="4"/>
  <c r="M18" i="4"/>
  <c r="M17" i="4"/>
  <c r="M19" i="4"/>
  <c r="M14" i="4"/>
  <c r="M11" i="4"/>
  <c r="M9" i="4"/>
  <c r="M16" i="4"/>
  <c r="M7" i="4"/>
  <c r="M15" i="4"/>
  <c r="M38" i="4"/>
  <c r="M40" i="4"/>
  <c r="M53" i="4"/>
  <c r="M52" i="4"/>
  <c r="M21" i="4"/>
  <c r="M31" i="4"/>
  <c r="M22" i="4"/>
  <c r="M44" i="4"/>
  <c r="M37" i="4"/>
  <c r="M39" i="4"/>
  <c r="M51" i="4"/>
  <c r="M50" i="4"/>
  <c r="M35" i="4"/>
  <c r="M36" i="4"/>
  <c r="M48" i="4"/>
  <c r="M23" i="4"/>
  <c r="M43" i="4"/>
  <c r="M45" i="4"/>
  <c r="M20" i="4"/>
  <c r="M42" i="4"/>
  <c r="M32" i="4"/>
  <c r="M41" i="4"/>
  <c r="M24" i="4"/>
  <c r="M46" i="4"/>
  <c r="M34" i="4"/>
  <c r="M49" i="4"/>
  <c r="M27" i="4"/>
  <c r="M29" i="4"/>
  <c r="M28" i="4"/>
  <c r="M47" i="4"/>
  <c r="M30" i="4"/>
  <c r="M33" i="4"/>
  <c r="M25" i="4"/>
  <c r="M26" i="4"/>
  <c r="R3" i="1"/>
  <c r="R52" i="1" l="1"/>
  <c r="S3" i="1" s="1"/>
  <c r="R160" i="22"/>
  <c r="R161" i="22" s="1"/>
  <c r="L68" i="22"/>
  <c r="N68" i="22"/>
  <c r="L70" i="22"/>
  <c r="N70" i="22"/>
  <c r="N88" i="22"/>
  <c r="L88" i="22"/>
  <c r="L98" i="22"/>
  <c r="N98" i="22"/>
  <c r="L104" i="22"/>
  <c r="N104" i="22"/>
  <c r="L61" i="22"/>
  <c r="N61" i="22"/>
  <c r="L102" i="22"/>
  <c r="N102" i="22"/>
  <c r="L91" i="22"/>
  <c r="N91" i="22"/>
  <c r="L82" i="22"/>
  <c r="N82" i="22"/>
  <c r="L99" i="22"/>
  <c r="N99" i="22"/>
  <c r="L75" i="22"/>
  <c r="N75" i="22"/>
  <c r="N74" i="22"/>
  <c r="L74" i="22"/>
  <c r="L67" i="22"/>
  <c r="N67" i="22"/>
  <c r="L87" i="22"/>
  <c r="N87" i="22"/>
  <c r="L101" i="22"/>
  <c r="N101" i="22"/>
  <c r="L103" i="22"/>
  <c r="N103" i="22"/>
  <c r="L83" i="22"/>
  <c r="N83" i="22"/>
  <c r="L78" i="22"/>
  <c r="N78" i="22"/>
  <c r="L64" i="22"/>
  <c r="N64" i="22"/>
  <c r="N59" i="22"/>
  <c r="L59" i="22"/>
  <c r="N66" i="22"/>
  <c r="L66" i="22"/>
  <c r="L72" i="22"/>
  <c r="N72" i="22"/>
  <c r="L89" i="22"/>
  <c r="O89" i="22" s="1"/>
  <c r="N89" i="22"/>
  <c r="L63" i="22"/>
  <c r="N63" i="22"/>
  <c r="L97" i="22"/>
  <c r="N97" i="22"/>
  <c r="L85" i="22"/>
  <c r="N85" i="22"/>
  <c r="N71" i="22"/>
  <c r="L71" i="22"/>
  <c r="N60" i="22"/>
  <c r="L60" i="22"/>
  <c r="L80" i="22"/>
  <c r="N80" i="22"/>
  <c r="L93" i="22"/>
  <c r="N93" i="22"/>
  <c r="L62" i="22"/>
  <c r="N62" i="22"/>
  <c r="L96" i="22"/>
  <c r="N96" i="22"/>
  <c r="L81" i="22"/>
  <c r="N81" i="22"/>
  <c r="L79" i="22"/>
  <c r="N79" i="22"/>
  <c r="L84" i="22"/>
  <c r="N84" i="22"/>
  <c r="L73" i="22"/>
  <c r="N73" i="22"/>
  <c r="L95" i="22"/>
  <c r="N95" i="22"/>
  <c r="L86" i="22"/>
  <c r="N86" i="22"/>
  <c r="L76" i="22"/>
  <c r="N76" i="22"/>
  <c r="L58" i="22"/>
  <c r="N58" i="22"/>
  <c r="L92" i="22"/>
  <c r="N92" i="22"/>
  <c r="L77" i="22"/>
  <c r="N77" i="22"/>
  <c r="N94" i="22"/>
  <c r="L94" i="22"/>
  <c r="N69" i="22"/>
  <c r="L69" i="22"/>
  <c r="N65" i="22"/>
  <c r="L65" i="22"/>
  <c r="L105" i="22"/>
  <c r="N105" i="22"/>
  <c r="L100" i="22"/>
  <c r="N100" i="22"/>
  <c r="L90" i="22"/>
  <c r="N90" i="22"/>
  <c r="N183" i="22"/>
  <c r="E171" i="22"/>
  <c r="F171" i="22" s="1"/>
  <c r="G171" i="22" s="1"/>
  <c r="H171" i="22" s="1"/>
  <c r="E174" i="22"/>
  <c r="F174" i="22" s="1"/>
  <c r="G174" i="22" s="1"/>
  <c r="H174" i="22" s="1"/>
  <c r="E185" i="22"/>
  <c r="F185" i="22" s="1"/>
  <c r="G185" i="22" s="1"/>
  <c r="H185" i="22" s="1"/>
  <c r="N187" i="22"/>
  <c r="N167" i="22"/>
  <c r="N189" i="22"/>
  <c r="E204" i="22"/>
  <c r="F204" i="22" s="1"/>
  <c r="G204" i="22" s="1"/>
  <c r="H204" i="22" s="1"/>
  <c r="E184" i="22"/>
  <c r="F184" i="22" s="1"/>
  <c r="G184" i="22" s="1"/>
  <c r="H184" i="22" s="1"/>
  <c r="E207" i="22"/>
  <c r="F207" i="22" s="1"/>
  <c r="G207" i="22" s="1"/>
  <c r="H207" i="22" s="1"/>
  <c r="E187" i="22"/>
  <c r="F187" i="22" s="1"/>
  <c r="G187" i="22" s="1"/>
  <c r="H187" i="22" s="1"/>
  <c r="E167" i="22"/>
  <c r="F167" i="22" s="1"/>
  <c r="G167" i="22" s="1"/>
  <c r="H167" i="22" s="1"/>
  <c r="E190" i="22"/>
  <c r="F190" i="22" s="1"/>
  <c r="G190" i="22" s="1"/>
  <c r="H190" i="22" s="1"/>
  <c r="E170" i="22"/>
  <c r="F170" i="22" s="1"/>
  <c r="G170" i="22" s="1"/>
  <c r="H170" i="22" s="1"/>
  <c r="E201" i="22"/>
  <c r="F201" i="22" s="1"/>
  <c r="G201" i="22" s="1"/>
  <c r="H201" i="22" s="1"/>
  <c r="E177" i="22"/>
  <c r="F177" i="22" s="1"/>
  <c r="G177" i="22" s="1"/>
  <c r="H177" i="22" s="1"/>
  <c r="N210" i="22"/>
  <c r="N171" i="22"/>
  <c r="N199" i="22"/>
  <c r="N166" i="22"/>
  <c r="N209" i="22"/>
  <c r="N192" i="22"/>
  <c r="E200" i="22"/>
  <c r="F200" i="22" s="1"/>
  <c r="G200" i="22" s="1"/>
  <c r="H200" i="22" s="1"/>
  <c r="E176" i="22"/>
  <c r="F176" i="22" s="1"/>
  <c r="G176" i="22" s="1"/>
  <c r="H176" i="22" s="1"/>
  <c r="E203" i="22"/>
  <c r="F203" i="22" s="1"/>
  <c r="G203" i="22" s="1"/>
  <c r="H203" i="22" s="1"/>
  <c r="E183" i="22"/>
  <c r="F183" i="22" s="1"/>
  <c r="G183" i="22" s="1"/>
  <c r="H183" i="22" s="1"/>
  <c r="E206" i="22"/>
  <c r="F206" i="22" s="1"/>
  <c r="G206" i="22" s="1"/>
  <c r="H206" i="22" s="1"/>
  <c r="E186" i="22"/>
  <c r="F186" i="22" s="1"/>
  <c r="G186" i="22" s="1"/>
  <c r="H186" i="22" s="1"/>
  <c r="E166" i="22"/>
  <c r="F166" i="22" s="1"/>
  <c r="G166" i="22" s="1"/>
  <c r="H166" i="22" s="1"/>
  <c r="E193" i="22"/>
  <c r="F193" i="22" s="1"/>
  <c r="G193" i="22" s="1"/>
  <c r="H193" i="22" s="1"/>
  <c r="E173" i="22"/>
  <c r="F173" i="22" s="1"/>
  <c r="G173" i="22" s="1"/>
  <c r="H173" i="22" s="1"/>
  <c r="N194" i="22"/>
  <c r="N202" i="22"/>
  <c r="N191" i="22"/>
  <c r="N206" i="22"/>
  <c r="N205" i="22"/>
  <c r="N184" i="22"/>
  <c r="N168" i="22"/>
  <c r="N177" i="22"/>
  <c r="N173" i="22"/>
  <c r="N208" i="22"/>
  <c r="N204" i="22"/>
  <c r="N174" i="22"/>
  <c r="N201" i="22"/>
  <c r="N185" i="22"/>
  <c r="N169" i="22"/>
  <c r="N200" i="22"/>
  <c r="N180" i="22"/>
  <c r="E212" i="22"/>
  <c r="F212" i="22" s="1"/>
  <c r="G212" i="22" s="1"/>
  <c r="H212" i="22" s="1"/>
  <c r="E196" i="22"/>
  <c r="F196" i="22" s="1"/>
  <c r="G196" i="22" s="1"/>
  <c r="H196" i="22" s="1"/>
  <c r="E180" i="22"/>
  <c r="F180" i="22" s="1"/>
  <c r="G180" i="22" s="1"/>
  <c r="H180" i="22" s="1"/>
  <c r="E211" i="22"/>
  <c r="F211" i="22" s="1"/>
  <c r="G211" i="22" s="1"/>
  <c r="H211" i="22" s="1"/>
  <c r="E195" i="22"/>
  <c r="F195" i="22" s="1"/>
  <c r="G195" i="22" s="1"/>
  <c r="H195" i="22" s="1"/>
  <c r="E179" i="22"/>
  <c r="F179" i="22" s="1"/>
  <c r="G179" i="22" s="1"/>
  <c r="H179" i="22" s="1"/>
  <c r="E210" i="22"/>
  <c r="F210" i="22" s="1"/>
  <c r="G210" i="22" s="1"/>
  <c r="H210" i="22" s="1"/>
  <c r="E194" i="22"/>
  <c r="F194" i="22" s="1"/>
  <c r="G194" i="22" s="1"/>
  <c r="H194" i="22" s="1"/>
  <c r="E178" i="22"/>
  <c r="F178" i="22" s="1"/>
  <c r="G178" i="22" s="1"/>
  <c r="H178" i="22" s="1"/>
  <c r="E213" i="22"/>
  <c r="F213" i="22" s="1"/>
  <c r="G213" i="22" s="1"/>
  <c r="H213" i="22" s="1"/>
  <c r="E197" i="22"/>
  <c r="F197" i="22" s="1"/>
  <c r="G197" i="22" s="1"/>
  <c r="H197" i="22" s="1"/>
  <c r="E181" i="22"/>
  <c r="F181" i="22" s="1"/>
  <c r="G181" i="22" s="1"/>
  <c r="H181" i="22" s="1"/>
  <c r="N211" i="22"/>
  <c r="N178" i="22"/>
  <c r="N179" i="22"/>
  <c r="N207" i="22"/>
  <c r="N175" i="22"/>
  <c r="N198" i="22"/>
  <c r="N213" i="22"/>
  <c r="N197" i="22"/>
  <c r="N181" i="22"/>
  <c r="N212" i="22"/>
  <c r="N196" i="22"/>
  <c r="N176" i="22"/>
  <c r="N188" i="22"/>
  <c r="P240" i="22"/>
  <c r="R240" i="22"/>
  <c r="R238" i="22"/>
  <c r="P238" i="22"/>
  <c r="P221" i="22"/>
  <c r="R221" i="22"/>
  <c r="R264" i="22"/>
  <c r="P264" i="22"/>
  <c r="P246" i="22"/>
  <c r="R246" i="22"/>
  <c r="R259" i="22"/>
  <c r="P259" i="22"/>
  <c r="R255" i="22"/>
  <c r="P255" i="22"/>
  <c r="R232" i="22"/>
  <c r="P232" i="22"/>
  <c r="P234" i="22"/>
  <c r="R234" i="22"/>
  <c r="R252" i="22"/>
  <c r="P252" i="22"/>
  <c r="P257" i="22"/>
  <c r="R257" i="22"/>
  <c r="H269" i="22"/>
  <c r="P236" i="22"/>
  <c r="R236" i="22"/>
  <c r="R223" i="22"/>
  <c r="P223" i="22"/>
  <c r="P253" i="22"/>
  <c r="R253" i="22"/>
  <c r="R227" i="22"/>
  <c r="P227" i="22"/>
  <c r="P247" i="22"/>
  <c r="R247" i="22"/>
  <c r="P265" i="22"/>
  <c r="R265" i="22"/>
  <c r="P220" i="22"/>
  <c r="R220" i="22"/>
  <c r="R239" i="22"/>
  <c r="P239" i="22"/>
  <c r="P261" i="22"/>
  <c r="R261" i="22"/>
  <c r="P251" i="22"/>
  <c r="S251" i="22" s="1"/>
  <c r="R251" i="22"/>
  <c r="P258" i="22"/>
  <c r="R258" i="22"/>
  <c r="P241" i="22"/>
  <c r="R241" i="22"/>
  <c r="R250" i="22"/>
  <c r="P250" i="22"/>
  <c r="P233" i="22"/>
  <c r="R233" i="22"/>
  <c r="P256" i="22"/>
  <c r="R256" i="22"/>
  <c r="P229" i="22"/>
  <c r="R229" i="22"/>
  <c r="R263" i="22"/>
  <c r="P263" i="22"/>
  <c r="R226" i="22"/>
  <c r="P226" i="22"/>
  <c r="R243" i="22"/>
  <c r="P243" i="22"/>
  <c r="P222" i="22"/>
  <c r="R222" i="22"/>
  <c r="R260" i="22"/>
  <c r="P260" i="22"/>
  <c r="P228" i="22"/>
  <c r="R228" i="22"/>
  <c r="P224" i="22"/>
  <c r="R224" i="22"/>
  <c r="P230" i="22"/>
  <c r="R230" i="22"/>
  <c r="P231" i="22"/>
  <c r="R231" i="22"/>
  <c r="P235" i="22"/>
  <c r="R235" i="22"/>
  <c r="R254" i="22"/>
  <c r="P254" i="22"/>
  <c r="P237" i="22"/>
  <c r="R237" i="22"/>
  <c r="R244" i="22"/>
  <c r="P244" i="22"/>
  <c r="P266" i="22"/>
  <c r="R266" i="22"/>
  <c r="P249" i="22"/>
  <c r="R249" i="22"/>
  <c r="P267" i="22"/>
  <c r="R267" i="22"/>
  <c r="P262" i="22"/>
  <c r="R262" i="22"/>
  <c r="P245" i="22"/>
  <c r="R245" i="22"/>
  <c r="P248" i="22"/>
  <c r="R248" i="22"/>
  <c r="R242" i="22"/>
  <c r="P242" i="22"/>
  <c r="P225" i="22"/>
  <c r="R225" i="22"/>
  <c r="L4" i="22"/>
  <c r="M4" i="22" s="1"/>
  <c r="N4" i="22" s="1"/>
  <c r="Q4" i="22" s="1"/>
  <c r="O4" i="22"/>
  <c r="G189" i="22"/>
  <c r="H189" i="22" s="1"/>
  <c r="G192" i="22"/>
  <c r="H192" i="22" s="1"/>
  <c r="G182" i="22"/>
  <c r="H182" i="22" s="1"/>
  <c r="G169" i="22"/>
  <c r="H169" i="22" s="1"/>
  <c r="G208" i="22"/>
  <c r="H208" i="22" s="1"/>
  <c r="G191" i="22"/>
  <c r="H191" i="22" s="1"/>
  <c r="G175" i="22"/>
  <c r="H175" i="22" s="1"/>
  <c r="G209" i="22"/>
  <c r="H209" i="22" s="1"/>
  <c r="G188" i="22"/>
  <c r="H188" i="22" s="1"/>
  <c r="G172" i="22"/>
  <c r="H172" i="22" s="1"/>
  <c r="G202" i="22"/>
  <c r="H202" i="22" s="1"/>
  <c r="G205" i="22"/>
  <c r="H205" i="22" s="1"/>
  <c r="G198" i="22"/>
  <c r="H198" i="22" s="1"/>
  <c r="G199" i="22"/>
  <c r="H199" i="22" s="1"/>
  <c r="G168" i="22"/>
  <c r="H168" i="22" s="1"/>
  <c r="T59" i="2"/>
  <c r="O59" i="2"/>
  <c r="H59" i="2"/>
  <c r="T61" i="2"/>
  <c r="T62" i="2" s="1"/>
  <c r="O58" i="2"/>
  <c r="H58" i="2"/>
  <c r="N53" i="2"/>
  <c r="N54" i="2" s="1"/>
  <c r="G53" i="2"/>
  <c r="G54" i="2" s="1"/>
  <c r="N6" i="4"/>
  <c r="N7" i="4" s="1"/>
  <c r="S21" i="1" l="1"/>
  <c r="S37" i="1"/>
  <c r="S6" i="1"/>
  <c r="S22" i="1"/>
  <c r="S38" i="1"/>
  <c r="S5" i="1"/>
  <c r="S7" i="1"/>
  <c r="S23" i="1"/>
  <c r="S39" i="1"/>
  <c r="S8" i="1"/>
  <c r="S24" i="1"/>
  <c r="S40" i="1"/>
  <c r="S25" i="1"/>
  <c r="S41" i="1"/>
  <c r="S10" i="1"/>
  <c r="S26" i="1"/>
  <c r="S42" i="1"/>
  <c r="S9" i="1"/>
  <c r="S11" i="1"/>
  <c r="S27" i="1"/>
  <c r="S43" i="1"/>
  <c r="S12" i="1"/>
  <c r="S28" i="1"/>
  <c r="S44" i="1"/>
  <c r="S29" i="1"/>
  <c r="S45" i="1"/>
  <c r="S14" i="1"/>
  <c r="S30" i="1"/>
  <c r="S46" i="1"/>
  <c r="S13" i="1"/>
  <c r="S15" i="1"/>
  <c r="S31" i="1"/>
  <c r="S47" i="1"/>
  <c r="S16" i="1"/>
  <c r="S32" i="1"/>
  <c r="S48" i="1"/>
  <c r="S33" i="1"/>
  <c r="S49" i="1"/>
  <c r="S18" i="1"/>
  <c r="S34" i="1"/>
  <c r="S50" i="1"/>
  <c r="S17" i="1"/>
  <c r="S19" i="1"/>
  <c r="S35" i="1"/>
  <c r="S4" i="1"/>
  <c r="S20" i="1"/>
  <c r="S36" i="1"/>
  <c r="O78" i="22"/>
  <c r="M78" i="22"/>
  <c r="P78" i="22" s="1"/>
  <c r="O103" i="22"/>
  <c r="M103" i="22"/>
  <c r="P103" i="22" s="1"/>
  <c r="M88" i="22"/>
  <c r="P88" i="22" s="1"/>
  <c r="M87" i="22"/>
  <c r="P87" i="22" s="1"/>
  <c r="O87" i="22"/>
  <c r="M99" i="22"/>
  <c r="P99" i="22" s="1"/>
  <c r="O99" i="22"/>
  <c r="O91" i="22"/>
  <c r="M91" i="22"/>
  <c r="P91" i="22" s="1"/>
  <c r="O61" i="22"/>
  <c r="M61" i="22"/>
  <c r="P61" i="22" s="1"/>
  <c r="O98" i="22"/>
  <c r="M98" i="22"/>
  <c r="P98" i="22" s="1"/>
  <c r="O70" i="22"/>
  <c r="M70" i="22"/>
  <c r="P70" i="22" s="1"/>
  <c r="O90" i="22"/>
  <c r="M90" i="22"/>
  <c r="P90" i="22" s="1"/>
  <c r="O105" i="22"/>
  <c r="M105" i="22"/>
  <c r="P105" i="22" s="1"/>
  <c r="O77" i="22"/>
  <c r="M77" i="22"/>
  <c r="P77" i="22" s="1"/>
  <c r="M58" i="22"/>
  <c r="P58" i="22" s="1"/>
  <c r="O58" i="22"/>
  <c r="O86" i="22"/>
  <c r="M86" i="22"/>
  <c r="P86" i="22" s="1"/>
  <c r="M73" i="22"/>
  <c r="P73" i="22" s="1"/>
  <c r="O73" i="22"/>
  <c r="O79" i="22"/>
  <c r="M79" i="22"/>
  <c r="P79" i="22" s="1"/>
  <c r="O96" i="22"/>
  <c r="M96" i="22"/>
  <c r="P96" i="22" s="1"/>
  <c r="O93" i="22"/>
  <c r="M93" i="22"/>
  <c r="P93" i="22" s="1"/>
  <c r="O85" i="22"/>
  <c r="M85" i="22"/>
  <c r="P85" i="22" s="1"/>
  <c r="M63" i="22"/>
  <c r="P63" i="22" s="1"/>
  <c r="O63" i="22"/>
  <c r="M72" i="22"/>
  <c r="P72" i="22" s="1"/>
  <c r="O72" i="22"/>
  <c r="O65" i="22"/>
  <c r="M65" i="22"/>
  <c r="P65" i="22" s="1"/>
  <c r="O94" i="22"/>
  <c r="M94" i="22"/>
  <c r="P94" i="22" s="1"/>
  <c r="O71" i="22"/>
  <c r="M71" i="22"/>
  <c r="P71" i="22" s="1"/>
  <c r="O66" i="22"/>
  <c r="M66" i="22"/>
  <c r="P66" i="22" s="1"/>
  <c r="O88" i="22"/>
  <c r="M89" i="22"/>
  <c r="P89" i="22" s="1"/>
  <c r="H4" i="15"/>
  <c r="J2" i="20" s="1"/>
  <c r="J4" i="20" s="1"/>
  <c r="K4" i="20" s="1"/>
  <c r="L4" i="20" s="1"/>
  <c r="N4" i="20" s="1"/>
  <c r="H88" i="15"/>
  <c r="H84" i="15"/>
  <c r="H80" i="15"/>
  <c r="H76" i="15"/>
  <c r="H72" i="15"/>
  <c r="H68" i="15"/>
  <c r="H64" i="15"/>
  <c r="H60" i="15"/>
  <c r="H56" i="15"/>
  <c r="H52" i="15"/>
  <c r="H48" i="15"/>
  <c r="H44" i="15"/>
  <c r="H40" i="15"/>
  <c r="H36" i="15"/>
  <c r="H32" i="15"/>
  <c r="H28" i="15"/>
  <c r="H24" i="15"/>
  <c r="H20" i="15"/>
  <c r="H16" i="15"/>
  <c r="H12" i="15"/>
  <c r="H8" i="15"/>
  <c r="H91" i="15"/>
  <c r="H87" i="15"/>
  <c r="H83" i="15"/>
  <c r="H79" i="15"/>
  <c r="H71" i="15"/>
  <c r="H63" i="15"/>
  <c r="H55" i="15"/>
  <c r="H47" i="15"/>
  <c r="H39" i="15"/>
  <c r="H31" i="15"/>
  <c r="H23" i="15"/>
  <c r="H15" i="15"/>
  <c r="H7" i="15"/>
  <c r="H90" i="15"/>
  <c r="H86" i="15"/>
  <c r="H82" i="15"/>
  <c r="H78" i="15"/>
  <c r="H74" i="15"/>
  <c r="H70" i="15"/>
  <c r="H66" i="15"/>
  <c r="H62" i="15"/>
  <c r="H58" i="15"/>
  <c r="H54" i="15"/>
  <c r="H50" i="15"/>
  <c r="H46" i="15"/>
  <c r="H42" i="15"/>
  <c r="H38" i="15"/>
  <c r="H34" i="15"/>
  <c r="H30" i="15"/>
  <c r="H26" i="15"/>
  <c r="H22" i="15"/>
  <c r="H18" i="15"/>
  <c r="H14" i="15"/>
  <c r="H10" i="15"/>
  <c r="H6" i="15"/>
  <c r="H89" i="15"/>
  <c r="H85" i="15"/>
  <c r="H81" i="15"/>
  <c r="H77" i="15"/>
  <c r="H73" i="15"/>
  <c r="H69" i="15"/>
  <c r="H65" i="15"/>
  <c r="H61" i="15"/>
  <c r="H57" i="15"/>
  <c r="H53" i="15"/>
  <c r="H49" i="15"/>
  <c r="H45" i="15"/>
  <c r="H41" i="15"/>
  <c r="H37" i="15"/>
  <c r="H33" i="15"/>
  <c r="H29" i="15"/>
  <c r="H25" i="15"/>
  <c r="H21" i="15"/>
  <c r="H17" i="15"/>
  <c r="H13" i="15"/>
  <c r="H9" i="15"/>
  <c r="H5" i="15"/>
  <c r="H75" i="15"/>
  <c r="H67" i="15"/>
  <c r="H59" i="15"/>
  <c r="H51" i="15"/>
  <c r="H43" i="15"/>
  <c r="H35" i="15"/>
  <c r="H27" i="15"/>
  <c r="H19" i="15"/>
  <c r="H11" i="15"/>
  <c r="M100" i="22"/>
  <c r="P100" i="22" s="1"/>
  <c r="O100" i="22"/>
  <c r="O92" i="22"/>
  <c r="M92" i="22"/>
  <c r="P92" i="22" s="1"/>
  <c r="O76" i="22"/>
  <c r="M76" i="22"/>
  <c r="P76" i="22" s="1"/>
  <c r="O95" i="22"/>
  <c r="M95" i="22"/>
  <c r="P95" i="22" s="1"/>
  <c r="O84" i="22"/>
  <c r="M84" i="22"/>
  <c r="P84" i="22" s="1"/>
  <c r="M81" i="22"/>
  <c r="P81" i="22" s="1"/>
  <c r="O81" i="22"/>
  <c r="O62" i="22"/>
  <c r="M62" i="22"/>
  <c r="P62" i="22" s="1"/>
  <c r="M80" i="22"/>
  <c r="P80" i="22" s="1"/>
  <c r="O80" i="22"/>
  <c r="O97" i="22"/>
  <c r="M97" i="22"/>
  <c r="P97" i="22" s="1"/>
  <c r="O64" i="22"/>
  <c r="M64" i="22"/>
  <c r="P64" i="22" s="1"/>
  <c r="M83" i="22"/>
  <c r="P83" i="22" s="1"/>
  <c r="O83" i="22"/>
  <c r="M101" i="22"/>
  <c r="P101" i="22" s="1"/>
  <c r="O101" i="22"/>
  <c r="O67" i="22"/>
  <c r="M67" i="22"/>
  <c r="P67" i="22" s="1"/>
  <c r="O75" i="22"/>
  <c r="M75" i="22"/>
  <c r="P75" i="22" s="1"/>
  <c r="O82" i="22"/>
  <c r="M82" i="22"/>
  <c r="P82" i="22" s="1"/>
  <c r="M102" i="22"/>
  <c r="P102" i="22" s="1"/>
  <c r="O102" i="22"/>
  <c r="M104" i="22"/>
  <c r="P104" i="22" s="1"/>
  <c r="O104" i="22"/>
  <c r="O68" i="22"/>
  <c r="M68" i="22"/>
  <c r="P68" i="22" s="1"/>
  <c r="H128" i="15"/>
  <c r="H124" i="15"/>
  <c r="H120" i="15"/>
  <c r="H116" i="15"/>
  <c r="H112" i="15"/>
  <c r="H108" i="15"/>
  <c r="H104" i="15"/>
  <c r="H100" i="15"/>
  <c r="H96" i="15"/>
  <c r="H92" i="15"/>
  <c r="H127" i="15"/>
  <c r="H123" i="15"/>
  <c r="H119" i="15"/>
  <c r="H115" i="15"/>
  <c r="H111" i="15"/>
  <c r="H107" i="15"/>
  <c r="H103" i="15"/>
  <c r="H99" i="15"/>
  <c r="H95" i="15"/>
  <c r="H126" i="15"/>
  <c r="H122" i="15"/>
  <c r="H118" i="15"/>
  <c r="H114" i="15"/>
  <c r="H110" i="15"/>
  <c r="H106" i="15"/>
  <c r="H102" i="15"/>
  <c r="H98" i="15"/>
  <c r="H94" i="15"/>
  <c r="H125" i="15"/>
  <c r="H121" i="15"/>
  <c r="H117" i="15"/>
  <c r="H113" i="15"/>
  <c r="H109" i="15"/>
  <c r="H105" i="15"/>
  <c r="H101" i="15"/>
  <c r="H97" i="15"/>
  <c r="H93" i="15"/>
  <c r="M69" i="22"/>
  <c r="P69" i="22" s="1"/>
  <c r="O69" i="22"/>
  <c r="O60" i="22"/>
  <c r="M60" i="22"/>
  <c r="P60" i="22" s="1"/>
  <c r="O59" i="22"/>
  <c r="M59" i="22"/>
  <c r="P59" i="22" s="1"/>
  <c r="O74" i="22"/>
  <c r="M74" i="22"/>
  <c r="P74" i="22" s="1"/>
  <c r="J27" i="28"/>
  <c r="J21" i="28"/>
  <c r="J16" i="28"/>
  <c r="J6" i="28"/>
  <c r="J28" i="28"/>
  <c r="J24" i="24"/>
  <c r="J21" i="24"/>
  <c r="J27" i="24"/>
  <c r="J6" i="24"/>
  <c r="J25" i="24"/>
  <c r="J25" i="28"/>
  <c r="J20" i="28"/>
  <c r="J10" i="28"/>
  <c r="J5" i="28"/>
  <c r="J14" i="28"/>
  <c r="J19" i="24"/>
  <c r="J5" i="24"/>
  <c r="J23" i="24"/>
  <c r="J26" i="24" s="1"/>
  <c r="J28" i="24"/>
  <c r="J14" i="24"/>
  <c r="J24" i="28"/>
  <c r="J8" i="28"/>
  <c r="J11" i="28"/>
  <c r="J20" i="24"/>
  <c r="J16" i="24"/>
  <c r="J23" i="28"/>
  <c r="J29" i="28"/>
  <c r="J7" i="24"/>
  <c r="J10" i="24"/>
  <c r="J17" i="28"/>
  <c r="J29" i="24"/>
  <c r="J17" i="24"/>
  <c r="J19" i="28"/>
  <c r="J8" i="24"/>
  <c r="J7" i="28"/>
  <c r="J11" i="24"/>
  <c r="J12" i="28"/>
  <c r="J12" i="24"/>
  <c r="S225" i="22"/>
  <c r="Q225" i="22"/>
  <c r="T225" i="22" s="1"/>
  <c r="S262" i="22"/>
  <c r="Q262" i="22"/>
  <c r="T262" i="22" s="1"/>
  <c r="Q224" i="22"/>
  <c r="T224" i="22" s="1"/>
  <c r="S224" i="22"/>
  <c r="Q220" i="22"/>
  <c r="T220" i="22" s="1"/>
  <c r="S220" i="22"/>
  <c r="Q242" i="22"/>
  <c r="T242" i="22" s="1"/>
  <c r="S242" i="22"/>
  <c r="Q245" i="22"/>
  <c r="T245" i="22" s="1"/>
  <c r="S245" i="22"/>
  <c r="S267" i="22"/>
  <c r="Q267" i="22"/>
  <c r="T267" i="22" s="1"/>
  <c r="S266" i="22"/>
  <c r="Q266" i="22"/>
  <c r="T266" i="22" s="1"/>
  <c r="S237" i="22"/>
  <c r="Q237" i="22"/>
  <c r="T237" i="22" s="1"/>
  <c r="S235" i="22"/>
  <c r="Q235" i="22"/>
  <c r="T235" i="22" s="1"/>
  <c r="S230" i="22"/>
  <c r="Q230" i="22"/>
  <c r="T230" i="22" s="1"/>
  <c r="S228" i="22"/>
  <c r="Q228" i="22"/>
  <c r="T228" i="22" s="1"/>
  <c r="S222" i="22"/>
  <c r="Q222" i="22"/>
  <c r="T222" i="22" s="1"/>
  <c r="S229" i="22"/>
  <c r="Q229" i="22"/>
  <c r="T229" i="22" s="1"/>
  <c r="S233" i="22"/>
  <c r="Q233" i="22"/>
  <c r="T233" i="22" s="1"/>
  <c r="Q241" i="22"/>
  <c r="T241" i="22" s="1"/>
  <c r="S241" i="22"/>
  <c r="Q265" i="22"/>
  <c r="T265" i="22" s="1"/>
  <c r="S265" i="22"/>
  <c r="Q255" i="22"/>
  <c r="T255" i="22" s="1"/>
  <c r="S255" i="22"/>
  <c r="Q248" i="22"/>
  <c r="T248" i="22" s="1"/>
  <c r="S248" i="22"/>
  <c r="S249" i="22"/>
  <c r="Q250" i="22"/>
  <c r="T250" i="22" s="1"/>
  <c r="Q249" i="22"/>
  <c r="T249" i="22" s="1"/>
  <c r="Q231" i="22"/>
  <c r="T231" i="22" s="1"/>
  <c r="S231" i="22"/>
  <c r="Q256" i="22"/>
  <c r="T256" i="22" s="1"/>
  <c r="S256" i="22"/>
  <c r="S258" i="22"/>
  <c r="Q258" i="22"/>
  <c r="T258" i="22" s="1"/>
  <c r="S261" i="22"/>
  <c r="Q261" i="22"/>
  <c r="T261" i="22" s="1"/>
  <c r="S247" i="22"/>
  <c r="Q247" i="22"/>
  <c r="T247" i="22" s="1"/>
  <c r="S253" i="22"/>
  <c r="Q253" i="22"/>
  <c r="T253" i="22" s="1"/>
  <c r="Q236" i="22"/>
  <c r="T236" i="22" s="1"/>
  <c r="S236" i="22"/>
  <c r="S252" i="22"/>
  <c r="Q252" i="22"/>
  <c r="T252" i="22" s="1"/>
  <c r="S232" i="22"/>
  <c r="Q232" i="22"/>
  <c r="T232" i="22" s="1"/>
  <c r="S259" i="22"/>
  <c r="Q259" i="22"/>
  <c r="T259" i="22" s="1"/>
  <c r="S264" i="22"/>
  <c r="Q264" i="22"/>
  <c r="T264" i="22" s="1"/>
  <c r="Q238" i="22"/>
  <c r="T238" i="22" s="1"/>
  <c r="S238" i="22"/>
  <c r="Q226" i="22"/>
  <c r="T226" i="22" s="1"/>
  <c r="S226" i="22"/>
  <c r="S239" i="22"/>
  <c r="Q239" i="22"/>
  <c r="T239" i="22" s="1"/>
  <c r="S227" i="22"/>
  <c r="Q227" i="22"/>
  <c r="T227" i="22" s="1"/>
  <c r="S223" i="22"/>
  <c r="Q223" i="22"/>
  <c r="T223" i="22" s="1"/>
  <c r="S244" i="22"/>
  <c r="Q244" i="22"/>
  <c r="T244" i="22" s="1"/>
  <c r="S254" i="22"/>
  <c r="Q254" i="22"/>
  <c r="T254" i="22" s="1"/>
  <c r="S260" i="22"/>
  <c r="Q260" i="22"/>
  <c r="T260" i="22" s="1"/>
  <c r="S243" i="22"/>
  <c r="Q243" i="22"/>
  <c r="T243" i="22" s="1"/>
  <c r="S263" i="22"/>
  <c r="Q263" i="22"/>
  <c r="T263" i="22" s="1"/>
  <c r="S250" i="22"/>
  <c r="Q251" i="22"/>
  <c r="T251" i="22" s="1"/>
  <c r="S257" i="22"/>
  <c r="Q257" i="22"/>
  <c r="T257" i="22" s="1"/>
  <c r="S234" i="22"/>
  <c r="Q234" i="22"/>
  <c r="T234" i="22" s="1"/>
  <c r="Q246" i="22"/>
  <c r="T246" i="22" s="1"/>
  <c r="S246" i="22"/>
  <c r="Q221" i="22"/>
  <c r="T221" i="22" s="1"/>
  <c r="S221" i="22"/>
  <c r="S240" i="22"/>
  <c r="Q240" i="22"/>
  <c r="T240" i="22" s="1"/>
  <c r="O187" i="22"/>
  <c r="P187" i="22" s="1"/>
  <c r="O194" i="22"/>
  <c r="P194" i="22" s="1"/>
  <c r="O180" i="22"/>
  <c r="P180" i="22" s="1"/>
  <c r="O198" i="22"/>
  <c r="P198" i="22" s="1"/>
  <c r="O178" i="22"/>
  <c r="P178" i="22" s="1"/>
  <c r="O212" i="22"/>
  <c r="S212" i="22" s="1"/>
  <c r="P4" i="22"/>
  <c r="O203" i="22"/>
  <c r="S203" i="22" s="1"/>
  <c r="O175" i="22"/>
  <c r="P175" i="22" s="1"/>
  <c r="O183" i="22"/>
  <c r="S183" i="22" s="1"/>
  <c r="O191" i="22"/>
  <c r="S191" i="22" s="1"/>
  <c r="O208" i="22"/>
  <c r="S208" i="22" s="1"/>
  <c r="O167" i="22"/>
  <c r="P167" i="22" s="1"/>
  <c r="O211" i="22"/>
  <c r="P211" i="22" s="1"/>
  <c r="O204" i="22"/>
  <c r="S204" i="22" s="1"/>
  <c r="O199" i="22"/>
  <c r="S199" i="22" s="1"/>
  <c r="O174" i="22"/>
  <c r="S174" i="22" s="1"/>
  <c r="O182" i="22"/>
  <c r="S182" i="22" s="1"/>
  <c r="S4" i="22"/>
  <c r="R4" i="22"/>
  <c r="O190" i="22"/>
  <c r="P212" i="22"/>
  <c r="O200" i="22"/>
  <c r="O171" i="22"/>
  <c r="O177" i="22"/>
  <c r="O195" i="22"/>
  <c r="O181" i="22"/>
  <c r="O169" i="22"/>
  <c r="O206" i="22"/>
  <c r="S194" i="22"/>
  <c r="O173" i="22"/>
  <c r="O166" i="22"/>
  <c r="O210" i="22"/>
  <c r="O176" i="22"/>
  <c r="O193" i="22"/>
  <c r="O197" i="22"/>
  <c r="O207" i="22"/>
  <c r="O168" i="22"/>
  <c r="O185" i="22"/>
  <c r="O172" i="22"/>
  <c r="O189" i="22"/>
  <c r="O192" i="22"/>
  <c r="O209" i="22"/>
  <c r="O202" i="22"/>
  <c r="O196" i="22"/>
  <c r="O213" i="22"/>
  <c r="O179" i="22"/>
  <c r="O184" i="22"/>
  <c r="O201" i="22"/>
  <c r="O170" i="22"/>
  <c r="O188" i="22"/>
  <c r="O205" i="22"/>
  <c r="O186" i="22"/>
  <c r="H215" i="22"/>
  <c r="V57" i="2"/>
  <c r="H61" i="2"/>
  <c r="H62" i="2" s="1"/>
  <c r="O61" i="2"/>
  <c r="O62" i="2" s="1"/>
  <c r="N8" i="4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O25" i="4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43" i="1"/>
  <c r="A44" i="1" s="1"/>
  <c r="A45" i="1" s="1"/>
  <c r="A46" i="1" s="1"/>
  <c r="A47" i="1" s="1"/>
  <c r="A48" i="1" s="1"/>
  <c r="A49" i="1" s="1"/>
  <c r="A50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J30" i="24" l="1"/>
  <c r="J26" i="28"/>
  <c r="J18" i="24"/>
  <c r="J22" i="24"/>
  <c r="R74" i="22"/>
  <c r="Q74" i="22"/>
  <c r="R60" i="22"/>
  <c r="Q60" i="22"/>
  <c r="Q104" i="22"/>
  <c r="R104" i="22"/>
  <c r="R83" i="22"/>
  <c r="Q83" i="22"/>
  <c r="R100" i="22"/>
  <c r="Q100" i="22"/>
  <c r="R72" i="22"/>
  <c r="Q72" i="22"/>
  <c r="R73" i="22"/>
  <c r="Q73" i="22"/>
  <c r="R58" i="22"/>
  <c r="Q58" i="22"/>
  <c r="R99" i="22"/>
  <c r="Q99" i="22"/>
  <c r="R103" i="22"/>
  <c r="Q103" i="22"/>
  <c r="J18" i="28"/>
  <c r="R68" i="22"/>
  <c r="Q68" i="22"/>
  <c r="R75" i="22"/>
  <c r="Q75" i="22"/>
  <c r="Q64" i="22"/>
  <c r="R64" i="22"/>
  <c r="R95" i="22"/>
  <c r="Q95" i="22"/>
  <c r="R92" i="22"/>
  <c r="Q92" i="22"/>
  <c r="R89" i="22"/>
  <c r="Q89" i="22"/>
  <c r="R71" i="22"/>
  <c r="Q71" i="22"/>
  <c r="Q65" i="22"/>
  <c r="R65" i="22"/>
  <c r="R93" i="22"/>
  <c r="Q93" i="22"/>
  <c r="R79" i="22"/>
  <c r="Q79" i="22"/>
  <c r="Q86" i="22"/>
  <c r="R86" i="22"/>
  <c r="R77" i="22"/>
  <c r="Q77" i="22"/>
  <c r="R90" i="22"/>
  <c r="Q90" i="22"/>
  <c r="R98" i="22"/>
  <c r="Q98" i="22"/>
  <c r="R91" i="22"/>
  <c r="Q91" i="22"/>
  <c r="J9" i="28"/>
  <c r="R59" i="22"/>
  <c r="Q59" i="22"/>
  <c r="R102" i="22"/>
  <c r="Q102" i="22"/>
  <c r="R101" i="22"/>
  <c r="Q101" i="22"/>
  <c r="Q80" i="22"/>
  <c r="R80" i="22"/>
  <c r="R81" i="22"/>
  <c r="Q81" i="22"/>
  <c r="R63" i="22"/>
  <c r="Q63" i="22"/>
  <c r="R87" i="22"/>
  <c r="Q87" i="22"/>
  <c r="R78" i="22"/>
  <c r="Q78" i="22"/>
  <c r="J22" i="28"/>
  <c r="J13" i="24"/>
  <c r="J9" i="24"/>
  <c r="J13" i="28"/>
  <c r="J30" i="28"/>
  <c r="R69" i="22"/>
  <c r="Q69" i="22"/>
  <c r="R82" i="22"/>
  <c r="Q82" i="22"/>
  <c r="R67" i="22"/>
  <c r="Q67" i="22"/>
  <c r="R97" i="22"/>
  <c r="Q97" i="22"/>
  <c r="R62" i="22"/>
  <c r="Q62" i="22"/>
  <c r="R84" i="22"/>
  <c r="Q84" i="22"/>
  <c r="R76" i="22"/>
  <c r="Q76" i="22"/>
  <c r="R66" i="22"/>
  <c r="Q66" i="22"/>
  <c r="R94" i="22"/>
  <c r="Q94" i="22"/>
  <c r="R85" i="22"/>
  <c r="Q85" i="22"/>
  <c r="R96" i="22"/>
  <c r="Q96" i="22"/>
  <c r="O107" i="22"/>
  <c r="R105" i="22"/>
  <c r="Q105" i="22"/>
  <c r="R70" i="22"/>
  <c r="Q70" i="22"/>
  <c r="R61" i="22"/>
  <c r="Q61" i="22"/>
  <c r="Q88" i="22"/>
  <c r="R88" i="22"/>
  <c r="U221" i="22"/>
  <c r="V221" i="22"/>
  <c r="V235" i="22"/>
  <c r="U235" i="22"/>
  <c r="U266" i="22"/>
  <c r="V266" i="22"/>
  <c r="S269" i="22"/>
  <c r="U262" i="22"/>
  <c r="V262" i="22"/>
  <c r="V263" i="22"/>
  <c r="U263" i="22"/>
  <c r="V244" i="22"/>
  <c r="U244" i="22"/>
  <c r="V247" i="22"/>
  <c r="U247" i="22"/>
  <c r="V241" i="22"/>
  <c r="U241" i="22"/>
  <c r="U245" i="22"/>
  <c r="V245" i="22"/>
  <c r="U220" i="22"/>
  <c r="V220" i="22"/>
  <c r="V246" i="22"/>
  <c r="U246" i="22"/>
  <c r="U226" i="22"/>
  <c r="V226" i="22"/>
  <c r="V236" i="22"/>
  <c r="U236" i="22"/>
  <c r="V231" i="22"/>
  <c r="U231" i="22"/>
  <c r="U233" i="22"/>
  <c r="V233" i="22"/>
  <c r="V222" i="22"/>
  <c r="U222" i="22"/>
  <c r="U230" i="22"/>
  <c r="V230" i="22"/>
  <c r="U237" i="22"/>
  <c r="V237" i="22"/>
  <c r="V267" i="22"/>
  <c r="U267" i="22"/>
  <c r="U225" i="22"/>
  <c r="V225" i="22"/>
  <c r="U238" i="22"/>
  <c r="V238" i="22"/>
  <c r="U256" i="22"/>
  <c r="V256" i="22"/>
  <c r="U250" i="22"/>
  <c r="V250" i="22"/>
  <c r="U229" i="22"/>
  <c r="V229" i="22"/>
  <c r="U228" i="22"/>
  <c r="V228" i="22"/>
  <c r="U240" i="22"/>
  <c r="V240" i="22"/>
  <c r="U257" i="22"/>
  <c r="V257" i="22"/>
  <c r="V260" i="22"/>
  <c r="U260" i="22"/>
  <c r="V227" i="22"/>
  <c r="U227" i="22"/>
  <c r="U264" i="22"/>
  <c r="V264" i="22"/>
  <c r="U232" i="22"/>
  <c r="V232" i="22"/>
  <c r="V258" i="22"/>
  <c r="U258" i="22"/>
  <c r="V255" i="22"/>
  <c r="U255" i="22"/>
  <c r="V234" i="22"/>
  <c r="U234" i="22"/>
  <c r="U251" i="22"/>
  <c r="V251" i="22"/>
  <c r="V243" i="22"/>
  <c r="U243" i="22"/>
  <c r="V254" i="22"/>
  <c r="U254" i="22"/>
  <c r="U223" i="22"/>
  <c r="V223" i="22"/>
  <c r="U239" i="22"/>
  <c r="V239" i="22"/>
  <c r="U259" i="22"/>
  <c r="V259" i="22"/>
  <c r="V252" i="22"/>
  <c r="U252" i="22"/>
  <c r="V253" i="22"/>
  <c r="U253" i="22"/>
  <c r="U261" i="22"/>
  <c r="V261" i="22"/>
  <c r="U249" i="22"/>
  <c r="V249" i="22"/>
  <c r="V248" i="22"/>
  <c r="U248" i="22"/>
  <c r="U265" i="22"/>
  <c r="V265" i="22"/>
  <c r="V242" i="22"/>
  <c r="U242" i="22"/>
  <c r="U224" i="22"/>
  <c r="V224" i="22"/>
  <c r="J2" i="21"/>
  <c r="J12" i="21" s="1"/>
  <c r="K12" i="21" s="1"/>
  <c r="L12" i="21" s="1"/>
  <c r="P174" i="22"/>
  <c r="T174" i="22" s="1"/>
  <c r="S198" i="22"/>
  <c r="S175" i="22"/>
  <c r="S187" i="22"/>
  <c r="S178" i="22"/>
  <c r="P183" i="22"/>
  <c r="T183" i="22" s="1"/>
  <c r="S167" i="22"/>
  <c r="P199" i="22"/>
  <c r="Q199" i="22" s="1"/>
  <c r="P203" i="22"/>
  <c r="Q203" i="22" s="1"/>
  <c r="P182" i="22"/>
  <c r="T182" i="22" s="1"/>
  <c r="S180" i="22"/>
  <c r="P191" i="22"/>
  <c r="T191" i="22" s="1"/>
  <c r="S211" i="22"/>
  <c r="P204" i="22"/>
  <c r="T204" i="22" s="1"/>
  <c r="P208" i="22"/>
  <c r="T208" i="22" s="1"/>
  <c r="P201" i="22"/>
  <c r="S201" i="22"/>
  <c r="S210" i="22"/>
  <c r="P210" i="22"/>
  <c r="T194" i="22"/>
  <c r="Q194" i="22"/>
  <c r="T211" i="22"/>
  <c r="Q211" i="22"/>
  <c r="P195" i="22"/>
  <c r="S195" i="22"/>
  <c r="T198" i="22"/>
  <c r="Q198" i="22"/>
  <c r="P205" i="22"/>
  <c r="S205" i="22"/>
  <c r="S202" i="22"/>
  <c r="P202" i="22"/>
  <c r="P206" i="22"/>
  <c r="S206" i="22"/>
  <c r="T167" i="22"/>
  <c r="Q167" i="22"/>
  <c r="S200" i="22"/>
  <c r="P200" i="22"/>
  <c r="P170" i="22"/>
  <c r="S170" i="22"/>
  <c r="P213" i="22"/>
  <c r="S213" i="22"/>
  <c r="P192" i="22"/>
  <c r="S192" i="22"/>
  <c r="P172" i="22"/>
  <c r="S172" i="22"/>
  <c r="P168" i="22"/>
  <c r="S168" i="22"/>
  <c r="T180" i="22"/>
  <c r="Q180" i="22"/>
  <c r="P176" i="22"/>
  <c r="S176" i="22"/>
  <c r="P181" i="22"/>
  <c r="S181" i="22"/>
  <c r="S177" i="22"/>
  <c r="P177" i="22"/>
  <c r="T178" i="22"/>
  <c r="Q178" i="22"/>
  <c r="T212" i="22"/>
  <c r="Q212" i="22"/>
  <c r="P186" i="22"/>
  <c r="S186" i="22"/>
  <c r="P196" i="22"/>
  <c r="S196" i="22"/>
  <c r="P207" i="22"/>
  <c r="S207" i="22"/>
  <c r="P184" i="22"/>
  <c r="S184" i="22"/>
  <c r="P197" i="22"/>
  <c r="T197" i="22" s="1"/>
  <c r="S197" i="22"/>
  <c r="S166" i="22"/>
  <c r="P166" i="22"/>
  <c r="T175" i="22"/>
  <c r="Q175" i="22"/>
  <c r="T187" i="22"/>
  <c r="Q187" i="22"/>
  <c r="P188" i="22"/>
  <c r="S188" i="22"/>
  <c r="P179" i="22"/>
  <c r="S179" i="22"/>
  <c r="P209" i="22"/>
  <c r="S209" i="22"/>
  <c r="P189" i="22"/>
  <c r="S189" i="22"/>
  <c r="P185" i="22"/>
  <c r="S185" i="22"/>
  <c r="P193" i="22"/>
  <c r="S193" i="22"/>
  <c r="S173" i="22"/>
  <c r="P173" i="22"/>
  <c r="S169" i="22"/>
  <c r="P169" i="22"/>
  <c r="S171" i="22"/>
  <c r="P171" i="22"/>
  <c r="P190" i="22"/>
  <c r="S190" i="22"/>
  <c r="T64" i="2"/>
  <c r="H64" i="2"/>
  <c r="O64" i="2"/>
  <c r="J51" i="20"/>
  <c r="K51" i="20" s="1"/>
  <c r="J48" i="20"/>
  <c r="K48" i="20" s="1"/>
  <c r="J39" i="20"/>
  <c r="K39" i="20" s="1"/>
  <c r="J29" i="20"/>
  <c r="K29" i="20" s="1"/>
  <c r="J19" i="20"/>
  <c r="K19" i="20" s="1"/>
  <c r="J14" i="20"/>
  <c r="K14" i="20" s="1"/>
  <c r="J8" i="20"/>
  <c r="K8" i="20" s="1"/>
  <c r="J43" i="20"/>
  <c r="K43" i="20" s="1"/>
  <c r="J32" i="20"/>
  <c r="K32" i="20" s="1"/>
  <c r="J25" i="20"/>
  <c r="K25" i="20" s="1"/>
  <c r="J21" i="20"/>
  <c r="K21" i="20" s="1"/>
  <c r="J16" i="20"/>
  <c r="K16" i="20" s="1"/>
  <c r="J11" i="20"/>
  <c r="K11" i="20" s="1"/>
  <c r="J5" i="20"/>
  <c r="K5" i="20" s="1"/>
  <c r="J36" i="20"/>
  <c r="K36" i="20" s="1"/>
  <c r="J22" i="20"/>
  <c r="K22" i="20" s="1"/>
  <c r="J12" i="20"/>
  <c r="K12" i="20" s="1"/>
  <c r="J30" i="20"/>
  <c r="K30" i="20" s="1"/>
  <c r="J10" i="20"/>
  <c r="K10" i="20" s="1"/>
  <c r="J45" i="20"/>
  <c r="K45" i="20" s="1"/>
  <c r="J26" i="20"/>
  <c r="K26" i="20" s="1"/>
  <c r="J18" i="20"/>
  <c r="K18" i="20" s="1"/>
  <c r="J7" i="20"/>
  <c r="K7" i="20" s="1"/>
  <c r="J40" i="20"/>
  <c r="K40" i="20" s="1"/>
  <c r="J24" i="20"/>
  <c r="K24" i="20" s="1"/>
  <c r="J15" i="20"/>
  <c r="K15" i="20" s="1"/>
  <c r="J6" i="20"/>
  <c r="K6" i="20" s="1"/>
  <c r="J20" i="20"/>
  <c r="K20" i="20" s="1"/>
  <c r="J41" i="20"/>
  <c r="K41" i="20" s="1"/>
  <c r="J42" i="20"/>
  <c r="K42" i="20" s="1"/>
  <c r="J35" i="20"/>
  <c r="K35" i="20" s="1"/>
  <c r="J9" i="20"/>
  <c r="K9" i="20" s="1"/>
  <c r="J47" i="20"/>
  <c r="K47" i="20" s="1"/>
  <c r="J28" i="20"/>
  <c r="K28" i="20" s="1"/>
  <c r="J46" i="20"/>
  <c r="K46" i="20" s="1"/>
  <c r="J13" i="20"/>
  <c r="K13" i="20" s="1"/>
  <c r="J27" i="20"/>
  <c r="K27" i="20" s="1"/>
  <c r="J31" i="20"/>
  <c r="K31" i="20" s="1"/>
  <c r="J50" i="20"/>
  <c r="K50" i="20" s="1"/>
  <c r="J44" i="20"/>
  <c r="K44" i="20" s="1"/>
  <c r="J17" i="20"/>
  <c r="K17" i="20" s="1"/>
  <c r="J34" i="20"/>
  <c r="K34" i="20" s="1"/>
  <c r="J37" i="20"/>
  <c r="K37" i="20" s="1"/>
  <c r="J33" i="20"/>
  <c r="K33" i="20" s="1"/>
  <c r="J49" i="20"/>
  <c r="K49" i="20" s="1"/>
  <c r="J23" i="20"/>
  <c r="K23" i="20" s="1"/>
  <c r="J38" i="20"/>
  <c r="K38" i="20" s="1"/>
  <c r="O15" i="4"/>
  <c r="O53" i="4"/>
  <c r="J31" i="28" l="1"/>
  <c r="Q106" i="22"/>
  <c r="J31" i="24"/>
  <c r="U268" i="22"/>
  <c r="J38" i="21"/>
  <c r="K38" i="21" s="1"/>
  <c r="L38" i="21" s="1"/>
  <c r="M38" i="21" s="1"/>
  <c r="P38" i="21" s="1"/>
  <c r="J36" i="21"/>
  <c r="K36" i="21" s="1"/>
  <c r="L36" i="21" s="1"/>
  <c r="N36" i="21" s="1"/>
  <c r="J11" i="21"/>
  <c r="K11" i="21" s="1"/>
  <c r="L11" i="21" s="1"/>
  <c r="M11" i="21" s="1"/>
  <c r="P11" i="21" s="1"/>
  <c r="J26" i="21"/>
  <c r="K26" i="21" s="1"/>
  <c r="L26" i="21" s="1"/>
  <c r="M26" i="21" s="1"/>
  <c r="P26" i="21" s="1"/>
  <c r="J19" i="21"/>
  <c r="K19" i="21" s="1"/>
  <c r="L19" i="21" s="1"/>
  <c r="N19" i="21" s="1"/>
  <c r="J17" i="21"/>
  <c r="K17" i="21" s="1"/>
  <c r="L17" i="21" s="1"/>
  <c r="M17" i="21" s="1"/>
  <c r="P17" i="21" s="1"/>
  <c r="J28" i="21"/>
  <c r="K28" i="21" s="1"/>
  <c r="L28" i="21" s="1"/>
  <c r="M28" i="21" s="1"/>
  <c r="P28" i="21" s="1"/>
  <c r="J34" i="21"/>
  <c r="K34" i="21" s="1"/>
  <c r="L34" i="21" s="1"/>
  <c r="M35" i="21" s="1"/>
  <c r="P35" i="21" s="1"/>
  <c r="J49" i="21"/>
  <c r="K49" i="21" s="1"/>
  <c r="L49" i="21" s="1"/>
  <c r="M49" i="21" s="1"/>
  <c r="P49" i="21" s="1"/>
  <c r="J45" i="21"/>
  <c r="K45" i="21" s="1"/>
  <c r="L45" i="21" s="1"/>
  <c r="M45" i="21" s="1"/>
  <c r="P45" i="21" s="1"/>
  <c r="J16" i="21"/>
  <c r="K16" i="21" s="1"/>
  <c r="L16" i="21" s="1"/>
  <c r="N16" i="21" s="1"/>
  <c r="J40" i="21"/>
  <c r="K40" i="21" s="1"/>
  <c r="L40" i="21" s="1"/>
  <c r="N40" i="21" s="1"/>
  <c r="J5" i="21"/>
  <c r="K5" i="21" s="1"/>
  <c r="L5" i="21" s="1"/>
  <c r="M5" i="21" s="1"/>
  <c r="P5" i="21" s="1"/>
  <c r="J18" i="21"/>
  <c r="K18" i="21" s="1"/>
  <c r="L18" i="21" s="1"/>
  <c r="N18" i="21" s="1"/>
  <c r="J42" i="21"/>
  <c r="K42" i="21" s="1"/>
  <c r="L42" i="21" s="1"/>
  <c r="M42" i="21" s="1"/>
  <c r="P42" i="21" s="1"/>
  <c r="J8" i="21"/>
  <c r="K8" i="21" s="1"/>
  <c r="L8" i="21" s="1"/>
  <c r="N8" i="21" s="1"/>
  <c r="J47" i="21"/>
  <c r="K47" i="21" s="1"/>
  <c r="L47" i="21" s="1"/>
  <c r="N47" i="21" s="1"/>
  <c r="J7" i="21"/>
  <c r="K7" i="21" s="1"/>
  <c r="L7" i="21" s="1"/>
  <c r="M7" i="21" s="1"/>
  <c r="P7" i="21" s="1"/>
  <c r="J27" i="21"/>
  <c r="K27" i="21" s="1"/>
  <c r="L27" i="21" s="1"/>
  <c r="M27" i="21" s="1"/>
  <c r="P27" i="21" s="1"/>
  <c r="J35" i="21"/>
  <c r="K35" i="21" s="1"/>
  <c r="L35" i="21" s="1"/>
  <c r="N35" i="21" s="1"/>
  <c r="J39" i="21"/>
  <c r="K39" i="21" s="1"/>
  <c r="L39" i="21" s="1"/>
  <c r="N39" i="21" s="1"/>
  <c r="J15" i="21"/>
  <c r="K15" i="21" s="1"/>
  <c r="L15" i="21" s="1"/>
  <c r="N15" i="21" s="1"/>
  <c r="J24" i="21"/>
  <c r="K24" i="21" s="1"/>
  <c r="L24" i="21" s="1"/>
  <c r="M24" i="21" s="1"/>
  <c r="P24" i="21" s="1"/>
  <c r="J13" i="21"/>
  <c r="K13" i="21" s="1"/>
  <c r="L13" i="21" s="1"/>
  <c r="N13" i="21" s="1"/>
  <c r="J43" i="21"/>
  <c r="K43" i="21" s="1"/>
  <c r="L43" i="21" s="1"/>
  <c r="M43" i="21" s="1"/>
  <c r="P43" i="21" s="1"/>
  <c r="J20" i="21"/>
  <c r="K20" i="21" s="1"/>
  <c r="L20" i="21" s="1"/>
  <c r="N20" i="21" s="1"/>
  <c r="J29" i="21"/>
  <c r="K29" i="21" s="1"/>
  <c r="L29" i="21" s="1"/>
  <c r="M29" i="21" s="1"/>
  <c r="P29" i="21" s="1"/>
  <c r="J31" i="21"/>
  <c r="K31" i="21" s="1"/>
  <c r="L31" i="21" s="1"/>
  <c r="M31" i="21" s="1"/>
  <c r="P31" i="21" s="1"/>
  <c r="J14" i="21"/>
  <c r="K14" i="21" s="1"/>
  <c r="L14" i="21" s="1"/>
  <c r="M14" i="21" s="1"/>
  <c r="P14" i="21" s="1"/>
  <c r="J23" i="21"/>
  <c r="K23" i="21" s="1"/>
  <c r="L23" i="21" s="1"/>
  <c r="N23" i="21" s="1"/>
  <c r="J32" i="21"/>
  <c r="K32" i="21" s="1"/>
  <c r="L32" i="21" s="1"/>
  <c r="N32" i="21" s="1"/>
  <c r="J10" i="21"/>
  <c r="K10" i="21" s="1"/>
  <c r="L10" i="21" s="1"/>
  <c r="M10" i="21" s="1"/>
  <c r="P10" i="21" s="1"/>
  <c r="J37" i="21"/>
  <c r="K37" i="21" s="1"/>
  <c r="L37" i="21" s="1"/>
  <c r="N37" i="21" s="1"/>
  <c r="J21" i="21"/>
  <c r="K21" i="21" s="1"/>
  <c r="L21" i="21" s="1"/>
  <c r="N21" i="21" s="1"/>
  <c r="J4" i="21"/>
  <c r="K4" i="21" s="1"/>
  <c r="L4" i="21" s="1"/>
  <c r="N4" i="21" s="1"/>
  <c r="J9" i="21"/>
  <c r="K9" i="21" s="1"/>
  <c r="L9" i="21" s="1"/>
  <c r="M9" i="21" s="1"/>
  <c r="P9" i="21" s="1"/>
  <c r="J33" i="21"/>
  <c r="K33" i="21" s="1"/>
  <c r="L33" i="21" s="1"/>
  <c r="M34" i="21" s="1"/>
  <c r="P34" i="21" s="1"/>
  <c r="J48" i="21"/>
  <c r="K48" i="21" s="1"/>
  <c r="L48" i="21" s="1"/>
  <c r="N48" i="21" s="1"/>
  <c r="J41" i="21"/>
  <c r="K41" i="21" s="1"/>
  <c r="L41" i="21" s="1"/>
  <c r="M41" i="21" s="1"/>
  <c r="P41" i="21" s="1"/>
  <c r="J25" i="21"/>
  <c r="K25" i="21" s="1"/>
  <c r="L25" i="21" s="1"/>
  <c r="N25" i="21" s="1"/>
  <c r="J46" i="21"/>
  <c r="K46" i="21" s="1"/>
  <c r="L46" i="21" s="1"/>
  <c r="M46" i="21" s="1"/>
  <c r="P46" i="21" s="1"/>
  <c r="J6" i="21"/>
  <c r="K6" i="21" s="1"/>
  <c r="L6" i="21" s="1"/>
  <c r="N6" i="21" s="1"/>
  <c r="J22" i="21"/>
  <c r="K22" i="21" s="1"/>
  <c r="L22" i="21" s="1"/>
  <c r="N22" i="21" s="1"/>
  <c r="J44" i="21"/>
  <c r="K44" i="21" s="1"/>
  <c r="L44" i="21" s="1"/>
  <c r="N44" i="21" s="1"/>
  <c r="J30" i="21"/>
  <c r="K30" i="21" s="1"/>
  <c r="L30" i="21" s="1"/>
  <c r="M30" i="21" s="1"/>
  <c r="P30" i="21" s="1"/>
  <c r="Q182" i="22"/>
  <c r="R182" i="22" s="1"/>
  <c r="Q183" i="22"/>
  <c r="U183" i="22" s="1"/>
  <c r="T199" i="22"/>
  <c r="Q174" i="22"/>
  <c r="U174" i="22" s="1"/>
  <c r="Q204" i="22"/>
  <c r="U204" i="22" s="1"/>
  <c r="T203" i="22"/>
  <c r="Q191" i="22"/>
  <c r="U191" i="22" s="1"/>
  <c r="Q208" i="22"/>
  <c r="R208" i="22" s="1"/>
  <c r="T171" i="22"/>
  <c r="Q171" i="22"/>
  <c r="T173" i="22"/>
  <c r="Q173" i="22"/>
  <c r="N12" i="21"/>
  <c r="M12" i="21"/>
  <c r="P12" i="21" s="1"/>
  <c r="T177" i="22"/>
  <c r="Q177" i="22"/>
  <c r="R199" i="22"/>
  <c r="U199" i="22"/>
  <c r="U211" i="22"/>
  <c r="R211" i="22"/>
  <c r="T185" i="22"/>
  <c r="Q185" i="22"/>
  <c r="T188" i="22"/>
  <c r="Q188" i="22"/>
  <c r="T207" i="22"/>
  <c r="Q207" i="22"/>
  <c r="T186" i="22"/>
  <c r="Q186" i="22"/>
  <c r="T176" i="22"/>
  <c r="Q176" i="22"/>
  <c r="T168" i="22"/>
  <c r="Q168" i="22"/>
  <c r="T192" i="22"/>
  <c r="Q192" i="22"/>
  <c r="T170" i="22"/>
  <c r="Q170" i="22"/>
  <c r="T169" i="22"/>
  <c r="Q169" i="22"/>
  <c r="R203" i="22"/>
  <c r="U203" i="22"/>
  <c r="R187" i="22"/>
  <c r="U187" i="22"/>
  <c r="Q166" i="22"/>
  <c r="T166" i="22"/>
  <c r="U212" i="22"/>
  <c r="R212" i="22"/>
  <c r="R180" i="22"/>
  <c r="U180" i="22"/>
  <c r="T200" i="22"/>
  <c r="Q200" i="22"/>
  <c r="R198" i="22"/>
  <c r="U198" i="22"/>
  <c r="R194" i="22"/>
  <c r="U194" i="22"/>
  <c r="R175" i="22"/>
  <c r="U175" i="22"/>
  <c r="R178" i="22"/>
  <c r="U178" i="22"/>
  <c r="R167" i="22"/>
  <c r="U167" i="22"/>
  <c r="T202" i="22"/>
  <c r="Q202" i="22"/>
  <c r="T210" i="22"/>
  <c r="Q210" i="22"/>
  <c r="T209" i="22"/>
  <c r="Q209" i="22"/>
  <c r="T184" i="22"/>
  <c r="Q184" i="22"/>
  <c r="T190" i="22"/>
  <c r="Q190" i="22"/>
  <c r="T193" i="22"/>
  <c r="Q193" i="22"/>
  <c r="T189" i="22"/>
  <c r="Q189" i="22"/>
  <c r="T179" i="22"/>
  <c r="Q179" i="22"/>
  <c r="T196" i="22"/>
  <c r="Q197" i="22"/>
  <c r="T181" i="22"/>
  <c r="Q181" i="22"/>
  <c r="T172" i="22"/>
  <c r="Q172" i="22"/>
  <c r="T213" i="22"/>
  <c r="Q213" i="22"/>
  <c r="T206" i="22"/>
  <c r="Q206" i="22"/>
  <c r="T205" i="22"/>
  <c r="Q205" i="22"/>
  <c r="T195" i="22"/>
  <c r="Q195" i="22"/>
  <c r="Q196" i="22"/>
  <c r="T201" i="22"/>
  <c r="Q201" i="22"/>
  <c r="M4" i="20"/>
  <c r="L38" i="20"/>
  <c r="M38" i="20" s="1"/>
  <c r="L50" i="20"/>
  <c r="M50" i="20" s="1"/>
  <c r="L35" i="20"/>
  <c r="L7" i="20"/>
  <c r="M7" i="20" s="1"/>
  <c r="L21" i="20"/>
  <c r="M21" i="20" s="1"/>
  <c r="L29" i="20"/>
  <c r="M29" i="20" s="1"/>
  <c r="L23" i="20"/>
  <c r="M23" i="20" s="1"/>
  <c r="L31" i="20"/>
  <c r="M31" i="20" s="1"/>
  <c r="L42" i="20"/>
  <c r="M42" i="20" s="1"/>
  <c r="L18" i="20"/>
  <c r="M18" i="20" s="1"/>
  <c r="L5" i="20"/>
  <c r="M5" i="20" s="1"/>
  <c r="L8" i="20"/>
  <c r="M8" i="20" s="1"/>
  <c r="L33" i="20"/>
  <c r="L44" i="20"/>
  <c r="M44" i="20" s="1"/>
  <c r="L13" i="20"/>
  <c r="M13" i="20" s="1"/>
  <c r="L9" i="20"/>
  <c r="M9" i="20" s="1"/>
  <c r="L20" i="20"/>
  <c r="M20" i="20" s="1"/>
  <c r="L40" i="20"/>
  <c r="M40" i="20" s="1"/>
  <c r="L45" i="20"/>
  <c r="M45" i="20" s="1"/>
  <c r="L22" i="20"/>
  <c r="M22" i="20" s="1"/>
  <c r="L16" i="20"/>
  <c r="M16" i="20" s="1"/>
  <c r="L43" i="20"/>
  <c r="M43" i="20" s="1"/>
  <c r="L19" i="20"/>
  <c r="M19" i="20" s="1"/>
  <c r="L51" i="20"/>
  <c r="M51" i="20" s="1"/>
  <c r="L37" i="20"/>
  <c r="M37" i="20" s="1"/>
  <c r="L46" i="20"/>
  <c r="M46" i="20" s="1"/>
  <c r="L6" i="20"/>
  <c r="M6" i="20" s="1"/>
  <c r="L10" i="20"/>
  <c r="M10" i="20" s="1"/>
  <c r="L36" i="20"/>
  <c r="M36" i="20" s="1"/>
  <c r="L34" i="20"/>
  <c r="M35" i="20" s="1"/>
  <c r="L28" i="20"/>
  <c r="M28" i="20" s="1"/>
  <c r="L15" i="20"/>
  <c r="M15" i="20" s="1"/>
  <c r="L30" i="20"/>
  <c r="M30" i="20" s="1"/>
  <c r="L25" i="20"/>
  <c r="M25" i="20" s="1"/>
  <c r="L39" i="20"/>
  <c r="M39" i="20" s="1"/>
  <c r="L49" i="20"/>
  <c r="M49" i="20" s="1"/>
  <c r="L17" i="20"/>
  <c r="M17" i="20" s="1"/>
  <c r="L27" i="20"/>
  <c r="M27" i="20" s="1"/>
  <c r="L47" i="20"/>
  <c r="M47" i="20" s="1"/>
  <c r="L41" i="20"/>
  <c r="M41" i="20" s="1"/>
  <c r="L24" i="20"/>
  <c r="M24" i="20" s="1"/>
  <c r="L26" i="20"/>
  <c r="M26" i="20" s="1"/>
  <c r="L12" i="20"/>
  <c r="M12" i="20" s="1"/>
  <c r="L11" i="20"/>
  <c r="M11" i="20" s="1"/>
  <c r="L32" i="20"/>
  <c r="M32" i="20" s="1"/>
  <c r="L14" i="20"/>
  <c r="M14" i="20" s="1"/>
  <c r="L48" i="20"/>
  <c r="M48" i="20" s="1"/>
  <c r="J51" i="21"/>
  <c r="K51" i="21" s="1"/>
  <c r="O51" i="21" s="1"/>
  <c r="J50" i="21"/>
  <c r="K50" i="21" s="1"/>
  <c r="O50" i="21" s="1"/>
  <c r="J51" i="22"/>
  <c r="K51" i="22" s="1"/>
  <c r="O51" i="22" s="1"/>
  <c r="J48" i="22"/>
  <c r="K48" i="22" s="1"/>
  <c r="O48" i="22" s="1"/>
  <c r="J40" i="22"/>
  <c r="K40" i="22" s="1"/>
  <c r="O40" i="22" s="1"/>
  <c r="J32" i="22"/>
  <c r="K32" i="22" s="1"/>
  <c r="O32" i="22" s="1"/>
  <c r="J20" i="22"/>
  <c r="K20" i="22" s="1"/>
  <c r="O20" i="22" s="1"/>
  <c r="J14" i="22"/>
  <c r="K14" i="22" s="1"/>
  <c r="O14" i="22" s="1"/>
  <c r="J46" i="22"/>
  <c r="K46" i="22" s="1"/>
  <c r="O46" i="22" s="1"/>
  <c r="J38" i="22"/>
  <c r="K38" i="22" s="1"/>
  <c r="O38" i="22" s="1"/>
  <c r="J30" i="22"/>
  <c r="K30" i="22" s="1"/>
  <c r="O30" i="22" s="1"/>
  <c r="J24" i="22"/>
  <c r="K24" i="22" s="1"/>
  <c r="O24" i="22" s="1"/>
  <c r="J18" i="22"/>
  <c r="K18" i="22" s="1"/>
  <c r="O18" i="22" s="1"/>
  <c r="J8" i="22"/>
  <c r="K8" i="22" s="1"/>
  <c r="O8" i="22" s="1"/>
  <c r="J44" i="22"/>
  <c r="K44" i="22" s="1"/>
  <c r="O44" i="22" s="1"/>
  <c r="J36" i="22"/>
  <c r="K36" i="22" s="1"/>
  <c r="O36" i="22" s="1"/>
  <c r="J28" i="22"/>
  <c r="K28" i="22" s="1"/>
  <c r="O28" i="22" s="1"/>
  <c r="J22" i="22"/>
  <c r="K22" i="22" s="1"/>
  <c r="O22" i="22" s="1"/>
  <c r="J12" i="22"/>
  <c r="K12" i="22" s="1"/>
  <c r="O12" i="22" s="1"/>
  <c r="J50" i="22"/>
  <c r="K50" i="22" s="1"/>
  <c r="O50" i="22" s="1"/>
  <c r="J42" i="22"/>
  <c r="K42" i="22" s="1"/>
  <c r="O42" i="22" s="1"/>
  <c r="J34" i="22"/>
  <c r="K34" i="22" s="1"/>
  <c r="O34" i="22" s="1"/>
  <c r="J26" i="22"/>
  <c r="K26" i="22" s="1"/>
  <c r="O26" i="22" s="1"/>
  <c r="J16" i="22"/>
  <c r="K16" i="22" s="1"/>
  <c r="O16" i="22" s="1"/>
  <c r="J10" i="22"/>
  <c r="K10" i="22" s="1"/>
  <c r="O10" i="22" s="1"/>
  <c r="J6" i="22"/>
  <c r="K6" i="22" s="1"/>
  <c r="O6" i="22" s="1"/>
  <c r="J5" i="22"/>
  <c r="K5" i="22" s="1"/>
  <c r="O5" i="22" s="1"/>
  <c r="J21" i="22"/>
  <c r="K21" i="22" s="1"/>
  <c r="O21" i="22" s="1"/>
  <c r="J37" i="22"/>
  <c r="K37" i="22" s="1"/>
  <c r="O37" i="22" s="1"/>
  <c r="J7" i="22"/>
  <c r="K7" i="22" s="1"/>
  <c r="O7" i="22" s="1"/>
  <c r="J23" i="22"/>
  <c r="K23" i="22" s="1"/>
  <c r="O23" i="22" s="1"/>
  <c r="J39" i="22"/>
  <c r="K39" i="22" s="1"/>
  <c r="O39" i="22" s="1"/>
  <c r="J9" i="22"/>
  <c r="K9" i="22" s="1"/>
  <c r="O9" i="22" s="1"/>
  <c r="J25" i="22"/>
  <c r="K25" i="22" s="1"/>
  <c r="O25" i="22" s="1"/>
  <c r="J41" i="22"/>
  <c r="K41" i="22" s="1"/>
  <c r="O41" i="22" s="1"/>
  <c r="J11" i="22"/>
  <c r="K11" i="22" s="1"/>
  <c r="O11" i="22" s="1"/>
  <c r="J27" i="22"/>
  <c r="K27" i="22" s="1"/>
  <c r="O27" i="22" s="1"/>
  <c r="J43" i="22"/>
  <c r="K43" i="22" s="1"/>
  <c r="O43" i="22" s="1"/>
  <c r="J13" i="22"/>
  <c r="K13" i="22" s="1"/>
  <c r="O13" i="22" s="1"/>
  <c r="J29" i="22"/>
  <c r="K29" i="22" s="1"/>
  <c r="O29" i="22" s="1"/>
  <c r="J45" i="22"/>
  <c r="K45" i="22" s="1"/>
  <c r="O45" i="22" s="1"/>
  <c r="J15" i="22"/>
  <c r="K15" i="22" s="1"/>
  <c r="O15" i="22" s="1"/>
  <c r="J31" i="22"/>
  <c r="K31" i="22" s="1"/>
  <c r="O31" i="22" s="1"/>
  <c r="J47" i="22"/>
  <c r="K47" i="22" s="1"/>
  <c r="O47" i="22" s="1"/>
  <c r="J17" i="22"/>
  <c r="K17" i="22" s="1"/>
  <c r="O17" i="22" s="1"/>
  <c r="J33" i="22"/>
  <c r="K33" i="22" s="1"/>
  <c r="O33" i="22" s="1"/>
  <c r="J49" i="22"/>
  <c r="K49" i="22" s="1"/>
  <c r="O49" i="22" s="1"/>
  <c r="J19" i="22"/>
  <c r="K19" i="22" s="1"/>
  <c r="O19" i="22" s="1"/>
  <c r="J35" i="22"/>
  <c r="K35" i="22" s="1"/>
  <c r="O35" i="22" s="1"/>
  <c r="O31" i="21" l="1"/>
  <c r="M8" i="21"/>
  <c r="P8" i="21" s="1"/>
  <c r="R8" i="21" s="1"/>
  <c r="N34" i="21"/>
  <c r="O10" i="21"/>
  <c r="O9" i="21"/>
  <c r="O8" i="21"/>
  <c r="N26" i="21"/>
  <c r="M40" i="21"/>
  <c r="P40" i="21" s="1"/>
  <c r="Q40" i="21" s="1"/>
  <c r="N10" i="21"/>
  <c r="M13" i="21"/>
  <c r="P13" i="21" s="1"/>
  <c r="R13" i="21" s="1"/>
  <c r="T215" i="22"/>
  <c r="N49" i="21"/>
  <c r="O19" i="21"/>
  <c r="M44" i="21"/>
  <c r="P44" i="21" s="1"/>
  <c r="R44" i="21" s="1"/>
  <c r="N5" i="21"/>
  <c r="N38" i="21"/>
  <c r="O7" i="21"/>
  <c r="O38" i="21"/>
  <c r="N43" i="21"/>
  <c r="M19" i="21"/>
  <c r="P19" i="21" s="1"/>
  <c r="R19" i="21" s="1"/>
  <c r="N45" i="21"/>
  <c r="O29" i="21"/>
  <c r="M36" i="21"/>
  <c r="P36" i="21" s="1"/>
  <c r="Q36" i="21" s="1"/>
  <c r="N28" i="21"/>
  <c r="M15" i="21"/>
  <c r="P15" i="21" s="1"/>
  <c r="R15" i="21" s="1"/>
  <c r="O42" i="21"/>
  <c r="N17" i="21"/>
  <c r="N11" i="21"/>
  <c r="N7" i="21"/>
  <c r="N42" i="21"/>
  <c r="M22" i="21"/>
  <c r="P22" i="21" s="1"/>
  <c r="R22" i="21" s="1"/>
  <c r="N24" i="21"/>
  <c r="O11" i="21"/>
  <c r="O17" i="21"/>
  <c r="O18" i="21"/>
  <c r="M18" i="21"/>
  <c r="P18" i="21" s="1"/>
  <c r="Q18" i="21" s="1"/>
  <c r="O49" i="21"/>
  <c r="O5" i="21"/>
  <c r="M47" i="21"/>
  <c r="P47" i="21" s="1"/>
  <c r="Q47" i="21" s="1"/>
  <c r="O35" i="21"/>
  <c r="O47" i="21"/>
  <c r="O34" i="21"/>
  <c r="N31" i="21"/>
  <c r="N9" i="21"/>
  <c r="O39" i="21"/>
  <c r="N14" i="21"/>
  <c r="O13" i="21"/>
  <c r="O30" i="21"/>
  <c r="O26" i="21"/>
  <c r="M33" i="21"/>
  <c r="P33" i="21" s="1"/>
  <c r="Q33" i="21" s="1"/>
  <c r="O22" i="21"/>
  <c r="M16" i="21"/>
  <c r="P16" i="21" s="1"/>
  <c r="R16" i="21" s="1"/>
  <c r="O27" i="21"/>
  <c r="O45" i="21"/>
  <c r="N27" i="21"/>
  <c r="N41" i="21"/>
  <c r="N29" i="21"/>
  <c r="O41" i="21"/>
  <c r="M4" i="21"/>
  <c r="P4" i="21" s="1"/>
  <c r="Q4" i="21" s="1"/>
  <c r="M32" i="21"/>
  <c r="P32" i="21" s="1"/>
  <c r="R32" i="21" s="1"/>
  <c r="R204" i="22"/>
  <c r="R174" i="22"/>
  <c r="O15" i="21"/>
  <c r="M6" i="21"/>
  <c r="P6" i="21" s="1"/>
  <c r="R6" i="21" s="1"/>
  <c r="O37" i="21"/>
  <c r="M39" i="21"/>
  <c r="P39" i="21" s="1"/>
  <c r="Q39" i="21" s="1"/>
  <c r="N46" i="21"/>
  <c r="N33" i="21"/>
  <c r="M37" i="21"/>
  <c r="P37" i="21" s="1"/>
  <c r="R37" i="21" s="1"/>
  <c r="M21" i="21"/>
  <c r="P21" i="21" s="1"/>
  <c r="R21" i="21" s="1"/>
  <c r="N30" i="21"/>
  <c r="M23" i="21"/>
  <c r="P23" i="21" s="1"/>
  <c r="R23" i="21" s="1"/>
  <c r="M48" i="21"/>
  <c r="P48" i="21" s="1"/>
  <c r="R48" i="21" s="1"/>
  <c r="O43" i="21"/>
  <c r="O21" i="21"/>
  <c r="O33" i="21"/>
  <c r="O6" i="21"/>
  <c r="O14" i="21"/>
  <c r="O46" i="21"/>
  <c r="M20" i="21"/>
  <c r="P20" i="21" s="1"/>
  <c r="R20" i="21" s="1"/>
  <c r="O25" i="21"/>
  <c r="M25" i="21"/>
  <c r="P25" i="21" s="1"/>
  <c r="Q25" i="21" s="1"/>
  <c r="O23" i="21"/>
  <c r="U182" i="22"/>
  <c r="W182" i="22" s="1"/>
  <c r="R183" i="22"/>
  <c r="R191" i="22"/>
  <c r="U208" i="22"/>
  <c r="V208" i="22" s="1"/>
  <c r="W198" i="22"/>
  <c r="V198" i="22"/>
  <c r="R200" i="22"/>
  <c r="U200" i="22"/>
  <c r="R14" i="21"/>
  <c r="Q14" i="21"/>
  <c r="R43" i="21"/>
  <c r="Q43" i="21"/>
  <c r="V187" i="22"/>
  <c r="W187" i="22"/>
  <c r="U192" i="22"/>
  <c r="R192" i="22"/>
  <c r="R40" i="21"/>
  <c r="R49" i="21"/>
  <c r="Q49" i="21"/>
  <c r="R185" i="22"/>
  <c r="U185" i="22"/>
  <c r="R173" i="22"/>
  <c r="U173" i="22"/>
  <c r="R206" i="22"/>
  <c r="U206" i="22"/>
  <c r="R197" i="22"/>
  <c r="U197" i="22"/>
  <c r="Q17" i="21"/>
  <c r="R17" i="21"/>
  <c r="R11" i="21"/>
  <c r="Q11" i="21"/>
  <c r="R189" i="22"/>
  <c r="U189" i="22"/>
  <c r="R209" i="22"/>
  <c r="U209" i="22"/>
  <c r="Q30" i="21"/>
  <c r="R30" i="21"/>
  <c r="Q34" i="21"/>
  <c r="R34" i="21"/>
  <c r="R201" i="22"/>
  <c r="U201" i="22"/>
  <c r="W194" i="22"/>
  <c r="V194" i="22"/>
  <c r="V180" i="22"/>
  <c r="W180" i="22"/>
  <c r="R10" i="21"/>
  <c r="Q10" i="21"/>
  <c r="R31" i="21"/>
  <c r="Q31" i="21"/>
  <c r="V203" i="22"/>
  <c r="W203" i="22"/>
  <c r="R170" i="22"/>
  <c r="U170" i="22"/>
  <c r="R168" i="22"/>
  <c r="U168" i="22"/>
  <c r="R186" i="22"/>
  <c r="U186" i="22"/>
  <c r="R24" i="21"/>
  <c r="Q24" i="21"/>
  <c r="Q38" i="21"/>
  <c r="R38" i="21"/>
  <c r="Q42" i="21"/>
  <c r="R42" i="21"/>
  <c r="R188" i="22"/>
  <c r="U188" i="22"/>
  <c r="W199" i="22"/>
  <c r="V199" i="22"/>
  <c r="Q12" i="21"/>
  <c r="R12" i="21"/>
  <c r="W204" i="22"/>
  <c r="V204" i="22"/>
  <c r="R171" i="22"/>
  <c r="U171" i="22"/>
  <c r="R196" i="22"/>
  <c r="U196" i="22"/>
  <c r="V175" i="22"/>
  <c r="W175" i="22"/>
  <c r="R29" i="21"/>
  <c r="Q29" i="21"/>
  <c r="W191" i="22"/>
  <c r="V191" i="22"/>
  <c r="R169" i="22"/>
  <c r="U169" i="22"/>
  <c r="R176" i="22"/>
  <c r="U176" i="22"/>
  <c r="R207" i="22"/>
  <c r="U207" i="22"/>
  <c r="R177" i="22"/>
  <c r="U177" i="22"/>
  <c r="Q9" i="21"/>
  <c r="R9" i="21"/>
  <c r="R195" i="22"/>
  <c r="U195" i="22"/>
  <c r="R172" i="22"/>
  <c r="U172" i="22"/>
  <c r="Q28" i="21"/>
  <c r="R28" i="21"/>
  <c r="R190" i="22"/>
  <c r="U190" i="22"/>
  <c r="R27" i="21"/>
  <c r="Q27" i="21"/>
  <c r="V174" i="22"/>
  <c r="W174" i="22"/>
  <c r="V167" i="22"/>
  <c r="W167" i="22"/>
  <c r="Q46" i="21"/>
  <c r="R46" i="21"/>
  <c r="R205" i="22"/>
  <c r="U205" i="22"/>
  <c r="U213" i="22"/>
  <c r="R213" i="22"/>
  <c r="R181" i="22"/>
  <c r="U181" i="22"/>
  <c r="Q5" i="21"/>
  <c r="R5" i="21"/>
  <c r="R35" i="21"/>
  <c r="Q35" i="21"/>
  <c r="Q26" i="21"/>
  <c r="R26" i="21"/>
  <c r="Q8" i="21"/>
  <c r="R45" i="21"/>
  <c r="Q45" i="21"/>
  <c r="R179" i="22"/>
  <c r="U179" i="22"/>
  <c r="U193" i="22"/>
  <c r="R193" i="22"/>
  <c r="R7" i="21"/>
  <c r="Q7" i="21"/>
  <c r="R184" i="22"/>
  <c r="U184" i="22"/>
  <c r="R210" i="22"/>
  <c r="U210" i="22"/>
  <c r="R202" i="22"/>
  <c r="U202" i="22"/>
  <c r="W178" i="22"/>
  <c r="V178" i="22"/>
  <c r="R41" i="21"/>
  <c r="Q41" i="21"/>
  <c r="W183" i="22"/>
  <c r="V183" i="22"/>
  <c r="V212" i="22"/>
  <c r="W212" i="22"/>
  <c r="U166" i="22"/>
  <c r="R166" i="22"/>
  <c r="V211" i="22"/>
  <c r="W211" i="22"/>
  <c r="P12" i="20"/>
  <c r="O12" i="20"/>
  <c r="O39" i="20"/>
  <c r="P39" i="20"/>
  <c r="O6" i="20"/>
  <c r="P6" i="20"/>
  <c r="P45" i="20"/>
  <c r="O45" i="20"/>
  <c r="P5" i="20"/>
  <c r="O5" i="20"/>
  <c r="O26" i="20"/>
  <c r="P26" i="20"/>
  <c r="P25" i="20"/>
  <c r="O25" i="20"/>
  <c r="O46" i="20"/>
  <c r="P46" i="20"/>
  <c r="P40" i="20"/>
  <c r="O40" i="20"/>
  <c r="P29" i="20"/>
  <c r="O29" i="20"/>
  <c r="P32" i="20"/>
  <c r="O32" i="20"/>
  <c r="P24" i="20"/>
  <c r="O24" i="20"/>
  <c r="P17" i="20"/>
  <c r="O17" i="20"/>
  <c r="O30" i="20"/>
  <c r="P30" i="20"/>
  <c r="O36" i="20"/>
  <c r="P36" i="20"/>
  <c r="P37" i="20"/>
  <c r="O37" i="20"/>
  <c r="P16" i="20"/>
  <c r="O16" i="20"/>
  <c r="O20" i="20"/>
  <c r="P20" i="20"/>
  <c r="O42" i="20"/>
  <c r="P42" i="20"/>
  <c r="P21" i="20"/>
  <c r="O21" i="20"/>
  <c r="O38" i="20"/>
  <c r="P38" i="20"/>
  <c r="P48" i="20"/>
  <c r="O48" i="20"/>
  <c r="O47" i="20"/>
  <c r="P47" i="20"/>
  <c r="O28" i="20"/>
  <c r="P28" i="20"/>
  <c r="O19" i="20"/>
  <c r="P19" i="20"/>
  <c r="P13" i="20"/>
  <c r="O13" i="20"/>
  <c r="O23" i="20"/>
  <c r="P23" i="20"/>
  <c r="O14" i="20"/>
  <c r="P14" i="20"/>
  <c r="O27" i="20"/>
  <c r="P27" i="20"/>
  <c r="O35" i="20"/>
  <c r="P35" i="20"/>
  <c r="O43" i="20"/>
  <c r="P43" i="20"/>
  <c r="P44" i="20"/>
  <c r="O44" i="20"/>
  <c r="O18" i="20"/>
  <c r="P18" i="20"/>
  <c r="O50" i="20"/>
  <c r="P50" i="20"/>
  <c r="O11" i="20"/>
  <c r="P11" i="20"/>
  <c r="P41" i="20"/>
  <c r="O41" i="20"/>
  <c r="P49" i="20"/>
  <c r="O49" i="20"/>
  <c r="O15" i="20"/>
  <c r="P15" i="20"/>
  <c r="O10" i="20"/>
  <c r="P10" i="20"/>
  <c r="O51" i="20"/>
  <c r="P51" i="20"/>
  <c r="O22" i="20"/>
  <c r="P22" i="20"/>
  <c r="P9" i="20"/>
  <c r="O9" i="20"/>
  <c r="P8" i="20"/>
  <c r="O8" i="20"/>
  <c r="O31" i="20"/>
  <c r="P31" i="20"/>
  <c r="O7" i="20"/>
  <c r="P7" i="20"/>
  <c r="P4" i="20"/>
  <c r="O4" i="20"/>
  <c r="M33" i="20"/>
  <c r="M34" i="20"/>
  <c r="N32" i="20"/>
  <c r="N24" i="20"/>
  <c r="N17" i="20"/>
  <c r="N30" i="20"/>
  <c r="N46" i="20"/>
  <c r="N43" i="20"/>
  <c r="N40" i="20"/>
  <c r="N44" i="20"/>
  <c r="N18" i="20"/>
  <c r="N29" i="20"/>
  <c r="N50" i="20"/>
  <c r="N11" i="20"/>
  <c r="N41" i="20"/>
  <c r="N49" i="20"/>
  <c r="N15" i="20"/>
  <c r="N36" i="20"/>
  <c r="N37" i="20"/>
  <c r="N16" i="20"/>
  <c r="N20" i="20"/>
  <c r="N33" i="20"/>
  <c r="N42" i="20"/>
  <c r="N21" i="20"/>
  <c r="N38" i="20"/>
  <c r="N48" i="20"/>
  <c r="N12" i="20"/>
  <c r="N47" i="20"/>
  <c r="N39" i="20"/>
  <c r="N28" i="20"/>
  <c r="N10" i="20"/>
  <c r="N51" i="20"/>
  <c r="N22" i="20"/>
  <c r="N9" i="20"/>
  <c r="N8" i="20"/>
  <c r="N31" i="20"/>
  <c r="N7" i="20"/>
  <c r="N14" i="20"/>
  <c r="N26" i="20"/>
  <c r="N27" i="20"/>
  <c r="N25" i="20"/>
  <c r="N34" i="20"/>
  <c r="N6" i="20"/>
  <c r="N19" i="20"/>
  <c r="N45" i="20"/>
  <c r="N13" i="20"/>
  <c r="N5" i="20"/>
  <c r="N23" i="20"/>
  <c r="N35" i="20"/>
  <c r="O20" i="21"/>
  <c r="O12" i="21"/>
  <c r="O16" i="21"/>
  <c r="O36" i="21"/>
  <c r="O24" i="21"/>
  <c r="O44" i="21"/>
  <c r="O28" i="21"/>
  <c r="O32" i="21"/>
  <c r="O4" i="21"/>
  <c r="O40" i="21"/>
  <c r="O48" i="21"/>
  <c r="L19" i="22"/>
  <c r="L29" i="22"/>
  <c r="L39" i="22"/>
  <c r="L16" i="22"/>
  <c r="L36" i="22"/>
  <c r="L24" i="22"/>
  <c r="L48" i="22"/>
  <c r="L49" i="22"/>
  <c r="L31" i="22"/>
  <c r="L12" i="22"/>
  <c r="L30" i="22"/>
  <c r="L51" i="22"/>
  <c r="L35" i="22"/>
  <c r="P35" i="22" s="1"/>
  <c r="L17" i="22"/>
  <c r="L45" i="22"/>
  <c r="L27" i="22"/>
  <c r="L9" i="22"/>
  <c r="L37" i="22"/>
  <c r="L10" i="22"/>
  <c r="L42" i="22"/>
  <c r="L28" i="22"/>
  <c r="L18" i="22"/>
  <c r="L46" i="22"/>
  <c r="L40" i="22"/>
  <c r="L47" i="22"/>
  <c r="L11" i="22"/>
  <c r="L21" i="22"/>
  <c r="L50" i="22"/>
  <c r="L14" i="22"/>
  <c r="L13" i="22"/>
  <c r="L41" i="22"/>
  <c r="L23" i="22"/>
  <c r="L5" i="22"/>
  <c r="L26" i="22"/>
  <c r="L44" i="22"/>
  <c r="L20" i="22"/>
  <c r="L33" i="22"/>
  <c r="L15" i="22"/>
  <c r="L43" i="22"/>
  <c r="L25" i="22"/>
  <c r="L7" i="22"/>
  <c r="L6" i="22"/>
  <c r="L34" i="22"/>
  <c r="L22" i="22"/>
  <c r="L8" i="22"/>
  <c r="L38" i="22"/>
  <c r="L32" i="22"/>
  <c r="L50" i="21"/>
  <c r="L51" i="21"/>
  <c r="Q13" i="21" l="1"/>
  <c r="Q44" i="21"/>
  <c r="R39" i="21"/>
  <c r="Q22" i="21"/>
  <c r="R36" i="21"/>
  <c r="Q15" i="21"/>
  <c r="Q19" i="21"/>
  <c r="R18" i="21"/>
  <c r="R4" i="21"/>
  <c r="R47" i="21"/>
  <c r="R33" i="21"/>
  <c r="R25" i="21"/>
  <c r="Q48" i="21"/>
  <c r="Q23" i="21"/>
  <c r="Q32" i="21"/>
  <c r="Q6" i="21"/>
  <c r="Q20" i="21"/>
  <c r="Q21" i="21"/>
  <c r="Q37" i="21"/>
  <c r="Q16" i="21"/>
  <c r="V182" i="22"/>
  <c r="W208" i="22"/>
  <c r="N50" i="21"/>
  <c r="M50" i="21"/>
  <c r="P50" i="21" s="1"/>
  <c r="W210" i="22"/>
  <c r="V210" i="22"/>
  <c r="W181" i="22"/>
  <c r="V181" i="22"/>
  <c r="W195" i="22"/>
  <c r="V195" i="22"/>
  <c r="W188" i="22"/>
  <c r="V188" i="22"/>
  <c r="W186" i="22"/>
  <c r="V186" i="22"/>
  <c r="V209" i="22"/>
  <c r="W209" i="22"/>
  <c r="V173" i="22"/>
  <c r="W173" i="22"/>
  <c r="W193" i="22"/>
  <c r="V193" i="22"/>
  <c r="V202" i="22"/>
  <c r="W202" i="22"/>
  <c r="W184" i="22"/>
  <c r="V184" i="22"/>
  <c r="V179" i="22"/>
  <c r="W179" i="22"/>
  <c r="V190" i="22"/>
  <c r="W190" i="22"/>
  <c r="W172" i="22"/>
  <c r="V172" i="22"/>
  <c r="V207" i="22"/>
  <c r="W207" i="22"/>
  <c r="W169" i="22"/>
  <c r="V169" i="22"/>
  <c r="W196" i="22"/>
  <c r="V196" i="22"/>
  <c r="W168" i="22"/>
  <c r="V168" i="22"/>
  <c r="V201" i="22"/>
  <c r="W201" i="22"/>
  <c r="W206" i="22"/>
  <c r="V206" i="22"/>
  <c r="V185" i="22"/>
  <c r="W185" i="22"/>
  <c r="V205" i="22"/>
  <c r="W205" i="22"/>
  <c r="W177" i="22"/>
  <c r="V177" i="22"/>
  <c r="V176" i="22"/>
  <c r="W176" i="22"/>
  <c r="V171" i="22"/>
  <c r="W171" i="22"/>
  <c r="V170" i="22"/>
  <c r="W170" i="22"/>
  <c r="V189" i="22"/>
  <c r="W189" i="22"/>
  <c r="V197" i="22"/>
  <c r="W197" i="22"/>
  <c r="V200" i="22"/>
  <c r="W200" i="22"/>
  <c r="V192" i="22"/>
  <c r="W192" i="22"/>
  <c r="N51" i="21"/>
  <c r="M51" i="21"/>
  <c r="P51" i="21" s="1"/>
  <c r="W166" i="22"/>
  <c r="V166" i="22"/>
  <c r="W213" i="22"/>
  <c r="V213" i="22"/>
  <c r="Q15" i="20"/>
  <c r="R15" i="20"/>
  <c r="Q50" i="20"/>
  <c r="R50" i="20"/>
  <c r="R35" i="20"/>
  <c r="Q35" i="20"/>
  <c r="R20" i="20"/>
  <c r="Q20" i="20"/>
  <c r="Q46" i="20"/>
  <c r="R46" i="20"/>
  <c r="Q26" i="20"/>
  <c r="R26" i="20"/>
  <c r="Q39" i="20"/>
  <c r="R39" i="20"/>
  <c r="R4" i="20"/>
  <c r="Q4" i="20"/>
  <c r="R9" i="20"/>
  <c r="Q9" i="20"/>
  <c r="R41" i="20"/>
  <c r="Q41" i="20"/>
  <c r="R44" i="20"/>
  <c r="Q44" i="20"/>
  <c r="R48" i="20"/>
  <c r="Q48" i="20"/>
  <c r="Q21" i="20"/>
  <c r="R21" i="20"/>
  <c r="Q37" i="20"/>
  <c r="R37" i="20"/>
  <c r="R24" i="20"/>
  <c r="Q24" i="20"/>
  <c r="Q29" i="20"/>
  <c r="R29" i="20"/>
  <c r="Q45" i="20"/>
  <c r="R45" i="20"/>
  <c r="O34" i="20"/>
  <c r="P34" i="20"/>
  <c r="Q7" i="20"/>
  <c r="R7" i="20"/>
  <c r="Q22" i="20"/>
  <c r="R22" i="20"/>
  <c r="Q10" i="20"/>
  <c r="R10" i="20"/>
  <c r="R11" i="20"/>
  <c r="Q11" i="20"/>
  <c r="Q18" i="20"/>
  <c r="R18" i="20"/>
  <c r="R43" i="20"/>
  <c r="Q43" i="20"/>
  <c r="R27" i="20"/>
  <c r="Q27" i="20"/>
  <c r="Q23" i="20"/>
  <c r="R23" i="20"/>
  <c r="R19" i="20"/>
  <c r="Q19" i="20"/>
  <c r="Q47" i="20"/>
  <c r="R47" i="20"/>
  <c r="Q38" i="20"/>
  <c r="R38" i="20"/>
  <c r="Q42" i="20"/>
  <c r="R42" i="20"/>
  <c r="R36" i="20"/>
  <c r="Q36" i="20"/>
  <c r="Q6" i="20"/>
  <c r="R6" i="20"/>
  <c r="Q31" i="20"/>
  <c r="R31" i="20"/>
  <c r="R51" i="20"/>
  <c r="Q51" i="20"/>
  <c r="Q14" i="20"/>
  <c r="R14" i="20"/>
  <c r="R28" i="20"/>
  <c r="Q28" i="20"/>
  <c r="Q30" i="20"/>
  <c r="R30" i="20"/>
  <c r="Q13" i="20"/>
  <c r="R13" i="20"/>
  <c r="P33" i="20"/>
  <c r="O33" i="20"/>
  <c r="R8" i="20"/>
  <c r="Q8" i="20"/>
  <c r="R49" i="20"/>
  <c r="Q49" i="20"/>
  <c r="R16" i="20"/>
  <c r="Q16" i="20"/>
  <c r="R17" i="20"/>
  <c r="Q17" i="20"/>
  <c r="R32" i="20"/>
  <c r="Q32" i="20"/>
  <c r="R40" i="20"/>
  <c r="Q40" i="20"/>
  <c r="R25" i="20"/>
  <c r="Q25" i="20"/>
  <c r="Q5" i="20"/>
  <c r="R5" i="20"/>
  <c r="R12" i="20"/>
  <c r="Q12" i="20"/>
  <c r="P38" i="22"/>
  <c r="M38" i="22"/>
  <c r="N38" i="22" s="1"/>
  <c r="Q38" i="22" s="1"/>
  <c r="P6" i="22"/>
  <c r="M6" i="22"/>
  <c r="N6" i="22" s="1"/>
  <c r="Q6" i="22" s="1"/>
  <c r="P15" i="22"/>
  <c r="M15" i="22"/>
  <c r="N15" i="22" s="1"/>
  <c r="Q15" i="22" s="1"/>
  <c r="P26" i="22"/>
  <c r="M26" i="22"/>
  <c r="N26" i="22" s="1"/>
  <c r="Q26" i="22" s="1"/>
  <c r="P13" i="22"/>
  <c r="M13" i="22"/>
  <c r="N13" i="22" s="1"/>
  <c r="Q13" i="22" s="1"/>
  <c r="P11" i="22"/>
  <c r="M11" i="22"/>
  <c r="N11" i="22" s="1"/>
  <c r="Q11" i="22" s="1"/>
  <c r="P18" i="22"/>
  <c r="M18" i="22"/>
  <c r="N18" i="22" s="1"/>
  <c r="Q18" i="22" s="1"/>
  <c r="P37" i="22"/>
  <c r="M37" i="22"/>
  <c r="N37" i="22" s="1"/>
  <c r="Q37" i="22" s="1"/>
  <c r="P17" i="22"/>
  <c r="M17" i="22"/>
  <c r="N17" i="22" s="1"/>
  <c r="Q17" i="22" s="1"/>
  <c r="P12" i="22"/>
  <c r="M12" i="22"/>
  <c r="N12" i="22" s="1"/>
  <c r="Q12" i="22" s="1"/>
  <c r="P24" i="22"/>
  <c r="M24" i="22"/>
  <c r="N24" i="22" s="1"/>
  <c r="Q24" i="22" s="1"/>
  <c r="P29" i="22"/>
  <c r="M29" i="22"/>
  <c r="N29" i="22" s="1"/>
  <c r="Q29" i="22" s="1"/>
  <c r="P8" i="22"/>
  <c r="M8" i="22"/>
  <c r="N8" i="22" s="1"/>
  <c r="Q8" i="22" s="1"/>
  <c r="P7" i="22"/>
  <c r="M7" i="22"/>
  <c r="N7" i="22" s="1"/>
  <c r="Q7" i="22" s="1"/>
  <c r="P33" i="22"/>
  <c r="M34" i="22"/>
  <c r="N34" i="22" s="1"/>
  <c r="Q34" i="22" s="1"/>
  <c r="M33" i="22"/>
  <c r="N33" i="22" s="1"/>
  <c r="Q33" i="22" s="1"/>
  <c r="P5" i="22"/>
  <c r="M5" i="22"/>
  <c r="N5" i="22" s="1"/>
  <c r="Q5" i="22" s="1"/>
  <c r="P14" i="22"/>
  <c r="M14" i="22"/>
  <c r="N14" i="22" s="1"/>
  <c r="Q14" i="22" s="1"/>
  <c r="P47" i="22"/>
  <c r="M47" i="22"/>
  <c r="N47" i="22" s="1"/>
  <c r="Q47" i="22" s="1"/>
  <c r="P28" i="22"/>
  <c r="M28" i="22"/>
  <c r="N28" i="22" s="1"/>
  <c r="Q28" i="22" s="1"/>
  <c r="P9" i="22"/>
  <c r="M9" i="22"/>
  <c r="N9" i="22" s="1"/>
  <c r="Q9" i="22" s="1"/>
  <c r="P31" i="22"/>
  <c r="M31" i="22"/>
  <c r="N31" i="22" s="1"/>
  <c r="Q31" i="22" s="1"/>
  <c r="P36" i="22"/>
  <c r="M36" i="22"/>
  <c r="N36" i="22" s="1"/>
  <c r="Q36" i="22" s="1"/>
  <c r="P19" i="22"/>
  <c r="M19" i="22"/>
  <c r="N19" i="22" s="1"/>
  <c r="Q19" i="22" s="1"/>
  <c r="P22" i="22"/>
  <c r="M22" i="22"/>
  <c r="N22" i="22" s="1"/>
  <c r="Q22" i="22" s="1"/>
  <c r="P25" i="22"/>
  <c r="M25" i="22"/>
  <c r="N25" i="22" s="1"/>
  <c r="Q25" i="22" s="1"/>
  <c r="P20" i="22"/>
  <c r="M20" i="22"/>
  <c r="N20" i="22" s="1"/>
  <c r="Q20" i="22" s="1"/>
  <c r="P23" i="22"/>
  <c r="M23" i="22"/>
  <c r="N23" i="22" s="1"/>
  <c r="Q23" i="22" s="1"/>
  <c r="P50" i="22"/>
  <c r="M50" i="22"/>
  <c r="N50" i="22" s="1"/>
  <c r="Q50" i="22" s="1"/>
  <c r="P40" i="22"/>
  <c r="M40" i="22"/>
  <c r="N40" i="22" s="1"/>
  <c r="Q40" i="22" s="1"/>
  <c r="P42" i="22"/>
  <c r="M42" i="22"/>
  <c r="N42" i="22" s="1"/>
  <c r="Q42" i="22" s="1"/>
  <c r="P27" i="22"/>
  <c r="M27" i="22"/>
  <c r="N27" i="22" s="1"/>
  <c r="Q27" i="22" s="1"/>
  <c r="P51" i="22"/>
  <c r="M51" i="22"/>
  <c r="N51" i="22" s="1"/>
  <c r="Q51" i="22" s="1"/>
  <c r="P49" i="22"/>
  <c r="M49" i="22"/>
  <c r="N49" i="22" s="1"/>
  <c r="Q49" i="22" s="1"/>
  <c r="P16" i="22"/>
  <c r="M16" i="22"/>
  <c r="N16" i="22" s="1"/>
  <c r="Q16" i="22" s="1"/>
  <c r="P32" i="22"/>
  <c r="M32" i="22"/>
  <c r="N32" i="22" s="1"/>
  <c r="Q32" i="22" s="1"/>
  <c r="P34" i="22"/>
  <c r="M35" i="22"/>
  <c r="N35" i="22" s="1"/>
  <c r="Q35" i="22" s="1"/>
  <c r="P43" i="22"/>
  <c r="M43" i="22"/>
  <c r="N43" i="22" s="1"/>
  <c r="Q43" i="22" s="1"/>
  <c r="P44" i="22"/>
  <c r="M44" i="22"/>
  <c r="N44" i="22" s="1"/>
  <c r="Q44" i="22" s="1"/>
  <c r="P41" i="22"/>
  <c r="M41" i="22"/>
  <c r="N41" i="22" s="1"/>
  <c r="Q41" i="22" s="1"/>
  <c r="P21" i="22"/>
  <c r="M21" i="22"/>
  <c r="N21" i="22" s="1"/>
  <c r="Q21" i="22" s="1"/>
  <c r="P46" i="22"/>
  <c r="M46" i="22"/>
  <c r="N46" i="22" s="1"/>
  <c r="Q46" i="22" s="1"/>
  <c r="P10" i="22"/>
  <c r="M10" i="22"/>
  <c r="N10" i="22" s="1"/>
  <c r="Q10" i="22" s="1"/>
  <c r="P45" i="22"/>
  <c r="M45" i="22"/>
  <c r="N45" i="22" s="1"/>
  <c r="Q45" i="22" s="1"/>
  <c r="P30" i="22"/>
  <c r="M30" i="22"/>
  <c r="N30" i="22" s="1"/>
  <c r="Q30" i="22" s="1"/>
  <c r="P48" i="22"/>
  <c r="M48" i="22"/>
  <c r="N48" i="22" s="1"/>
  <c r="Q48" i="22" s="1"/>
  <c r="P39" i="22"/>
  <c r="M39" i="22"/>
  <c r="N39" i="22" s="1"/>
  <c r="Q39" i="22" s="1"/>
  <c r="N53" i="20"/>
  <c r="B3" i="26" s="1"/>
  <c r="N53" i="21"/>
  <c r="B4" i="26" s="1"/>
  <c r="V214" i="22" l="1"/>
  <c r="V215" i="22" s="1"/>
  <c r="R8" i="22"/>
  <c r="S8" i="22"/>
  <c r="S17" i="22"/>
  <c r="R17" i="22"/>
  <c r="S13" i="22"/>
  <c r="R13" i="22"/>
  <c r="R15" i="22"/>
  <c r="S15" i="22"/>
  <c r="R39" i="22"/>
  <c r="S39" i="22"/>
  <c r="R10" i="22"/>
  <c r="S10" i="22"/>
  <c r="R44" i="22"/>
  <c r="S44" i="22"/>
  <c r="S51" i="22"/>
  <c r="R51" i="22"/>
  <c r="R50" i="22"/>
  <c r="S50" i="22"/>
  <c r="R22" i="22"/>
  <c r="S22" i="22"/>
  <c r="S9" i="22"/>
  <c r="R9" i="22"/>
  <c r="S5" i="22"/>
  <c r="R5" i="22"/>
  <c r="R7" i="22"/>
  <c r="S7" i="22"/>
  <c r="S29" i="22"/>
  <c r="R29" i="22"/>
  <c r="R12" i="22"/>
  <c r="S12" i="22"/>
  <c r="S37" i="22"/>
  <c r="R37" i="22"/>
  <c r="R11" i="22"/>
  <c r="S11" i="22"/>
  <c r="R26" i="22"/>
  <c r="S26" i="22"/>
  <c r="R6" i="22"/>
  <c r="S6" i="22"/>
  <c r="R51" i="21"/>
  <c r="Q51" i="21"/>
  <c r="Q50" i="21"/>
  <c r="R50" i="21"/>
  <c r="R34" i="22"/>
  <c r="S34" i="22"/>
  <c r="R24" i="22"/>
  <c r="S24" i="22"/>
  <c r="R18" i="22"/>
  <c r="S18" i="22"/>
  <c r="R38" i="22"/>
  <c r="S38" i="22"/>
  <c r="R30" i="22"/>
  <c r="S30" i="22"/>
  <c r="S21" i="22"/>
  <c r="R21" i="22"/>
  <c r="R35" i="22"/>
  <c r="S35" i="22"/>
  <c r="R16" i="22"/>
  <c r="S16" i="22"/>
  <c r="R42" i="22"/>
  <c r="S42" i="22"/>
  <c r="R20" i="22"/>
  <c r="S20" i="22"/>
  <c r="R36" i="22"/>
  <c r="S36" i="22"/>
  <c r="S47" i="22"/>
  <c r="R47" i="22"/>
  <c r="R48" i="22"/>
  <c r="S48" i="22"/>
  <c r="S45" i="22"/>
  <c r="R45" i="22"/>
  <c r="R46" i="22"/>
  <c r="S46" i="22"/>
  <c r="S41" i="22"/>
  <c r="R41" i="22"/>
  <c r="S43" i="22"/>
  <c r="R43" i="22"/>
  <c r="R32" i="22"/>
  <c r="S32" i="22"/>
  <c r="S49" i="22"/>
  <c r="R49" i="22"/>
  <c r="R27" i="22"/>
  <c r="S27" i="22"/>
  <c r="R40" i="22"/>
  <c r="S40" i="22"/>
  <c r="R23" i="22"/>
  <c r="S23" i="22"/>
  <c r="S25" i="22"/>
  <c r="R25" i="22"/>
  <c r="R19" i="22"/>
  <c r="S19" i="22"/>
  <c r="R31" i="22"/>
  <c r="S31" i="22"/>
  <c r="R28" i="22"/>
  <c r="S28" i="22"/>
  <c r="R14" i="22"/>
  <c r="S14" i="22"/>
  <c r="S33" i="22"/>
  <c r="R33" i="22"/>
  <c r="Q34" i="20"/>
  <c r="R34" i="20"/>
  <c r="R33" i="20"/>
  <c r="Q33" i="20"/>
  <c r="P53" i="22"/>
  <c r="B5" i="26" s="1"/>
  <c r="B11" i="26" s="1"/>
  <c r="C16" i="26" s="1"/>
  <c r="D16" i="26" l="1"/>
  <c r="C20" i="26"/>
  <c r="D20" i="26" s="1"/>
  <c r="K14" i="28"/>
  <c r="K18" i="28" s="1"/>
  <c r="K11" i="28"/>
  <c r="K27" i="28"/>
  <c r="K12" i="28"/>
  <c r="K28" i="28"/>
  <c r="K25" i="28"/>
  <c r="K26" i="28" s="1"/>
  <c r="K21" i="28"/>
  <c r="K22" i="28" s="1"/>
  <c r="K10" i="28"/>
  <c r="K28" i="24"/>
  <c r="K25" i="24"/>
  <c r="K26" i="24" s="1"/>
  <c r="K12" i="24"/>
  <c r="K21" i="24"/>
  <c r="K22" i="24" s="1"/>
  <c r="K11" i="24"/>
  <c r="K14" i="24"/>
  <c r="K18" i="24" s="1"/>
  <c r="K27" i="24"/>
  <c r="K10" i="24"/>
  <c r="R52" i="22"/>
  <c r="R53" i="22" s="1"/>
  <c r="Q52" i="21"/>
  <c r="Q53" i="21" s="1"/>
  <c r="Q52" i="20"/>
  <c r="Q53" i="20" s="1"/>
  <c r="F92" i="15"/>
  <c r="F93" i="15" s="1"/>
  <c r="F94" i="15" s="1"/>
  <c r="F95" i="15" s="1"/>
  <c r="F96" i="15" s="1"/>
  <c r="F97" i="15" s="1"/>
  <c r="F98" i="15" s="1"/>
  <c r="F99" i="15" s="1"/>
  <c r="F100" i="15" s="1"/>
  <c r="F101" i="15" s="1"/>
  <c r="F102" i="15" s="1"/>
  <c r="F103" i="15" s="1"/>
  <c r="F104" i="15" s="1"/>
  <c r="F105" i="15" s="1"/>
  <c r="F106" i="15" s="1"/>
  <c r="F107" i="15" s="1"/>
  <c r="F108" i="15" s="1"/>
  <c r="F109" i="15" s="1"/>
  <c r="F110" i="15" s="1"/>
  <c r="F111" i="15" s="1"/>
  <c r="F112" i="15" s="1"/>
  <c r="F113" i="15" s="1"/>
  <c r="F114" i="15" s="1"/>
  <c r="F115" i="15" s="1"/>
  <c r="F116" i="15" s="1"/>
  <c r="F117" i="15" s="1"/>
  <c r="F118" i="15" s="1"/>
  <c r="F119" i="15" s="1"/>
  <c r="F120" i="15" s="1"/>
  <c r="F121" i="15" s="1"/>
  <c r="F122" i="15" s="1"/>
  <c r="F123" i="15" s="1"/>
  <c r="F124" i="15" s="1"/>
  <c r="F125" i="15" s="1"/>
  <c r="F126" i="15" s="1"/>
  <c r="F127" i="15" s="1"/>
  <c r="F128" i="15" s="1"/>
  <c r="F129" i="15" s="1"/>
  <c r="F130" i="15" s="1"/>
  <c r="F131" i="15" s="1"/>
  <c r="F132" i="15" s="1"/>
  <c r="F133" i="15" s="1"/>
  <c r="F134" i="15" s="1"/>
  <c r="F135" i="15" s="1"/>
  <c r="F136" i="15" s="1"/>
  <c r="F137" i="15" s="1"/>
  <c r="F138" i="15" s="1"/>
  <c r="F139" i="15" s="1"/>
  <c r="F140" i="15" s="1"/>
  <c r="F141" i="15" s="1"/>
  <c r="F142" i="15" s="1"/>
  <c r="F143" i="15" s="1"/>
  <c r="F144" i="15" s="1"/>
  <c r="F145" i="15" s="1"/>
  <c r="F146" i="15" s="1"/>
  <c r="F147" i="15" s="1"/>
  <c r="F148" i="15" s="1"/>
  <c r="F149" i="15" s="1"/>
  <c r="F150" i="15" s="1"/>
  <c r="F151" i="15" s="1"/>
  <c r="F152" i="15" s="1"/>
  <c r="F153" i="15" s="1"/>
  <c r="F154" i="15" s="1"/>
  <c r="F155" i="15" s="1"/>
  <c r="F156" i="15" s="1"/>
  <c r="F157" i="15" s="1"/>
  <c r="F158" i="15" s="1"/>
  <c r="F159" i="15" s="1"/>
  <c r="F160" i="15" s="1"/>
  <c r="F161" i="15" s="1"/>
  <c r="F162" i="15" s="1"/>
  <c r="F163" i="15" s="1"/>
  <c r="F164" i="15" s="1"/>
  <c r="F165" i="15" s="1"/>
  <c r="F166" i="15" s="1"/>
  <c r="F167" i="15" s="1"/>
  <c r="F168" i="15" s="1"/>
  <c r="F169" i="15" s="1"/>
  <c r="F170" i="15" s="1"/>
  <c r="F171" i="15" s="1"/>
  <c r="F172" i="15" s="1"/>
  <c r="F173" i="15" s="1"/>
  <c r="F174" i="15" s="1"/>
  <c r="F175" i="15" s="1"/>
  <c r="F176" i="15" s="1"/>
  <c r="F177" i="15" s="1"/>
  <c r="F178" i="15" s="1"/>
  <c r="F179" i="15" s="1"/>
  <c r="F180" i="15" s="1"/>
  <c r="F181" i="15" s="1"/>
  <c r="F182" i="15" s="1"/>
  <c r="F183" i="15" s="1"/>
  <c r="K13" i="28" l="1"/>
  <c r="H5" i="24"/>
  <c r="H29" i="28"/>
  <c r="H15" i="28"/>
  <c r="H14" i="28"/>
  <c r="H12" i="28"/>
  <c r="H27" i="28"/>
  <c r="H25" i="28"/>
  <c r="H24" i="28"/>
  <c r="H23" i="28"/>
  <c r="H21" i="28"/>
  <c r="H20" i="28"/>
  <c r="H19" i="28"/>
  <c r="H17" i="28"/>
  <c r="H28" i="28"/>
  <c r="H16" i="28"/>
  <c r="H11" i="28"/>
  <c r="H7" i="28"/>
  <c r="H6" i="28"/>
  <c r="H5" i="28"/>
  <c r="H10" i="28"/>
  <c r="H8" i="28"/>
  <c r="G7" i="28"/>
  <c r="G25" i="28"/>
  <c r="G23" i="28"/>
  <c r="G21" i="28"/>
  <c r="G8" i="28"/>
  <c r="G29" i="28"/>
  <c r="G15" i="28"/>
  <c r="G14" i="28"/>
  <c r="G12" i="28"/>
  <c r="G28" i="28"/>
  <c r="G16" i="28"/>
  <c r="G11" i="28"/>
  <c r="G6" i="28"/>
  <c r="G5" i="28"/>
  <c r="G27" i="28"/>
  <c r="G24" i="28"/>
  <c r="G20" i="28"/>
  <c r="G19" i="28"/>
  <c r="G17" i="28"/>
  <c r="G10" i="28"/>
  <c r="I28" i="28"/>
  <c r="I11" i="28"/>
  <c r="I6" i="28"/>
  <c r="I5" i="28"/>
  <c r="I29" i="28"/>
  <c r="I27" i="28"/>
  <c r="I25" i="28"/>
  <c r="I24" i="28"/>
  <c r="I23" i="28"/>
  <c r="I21" i="28"/>
  <c r="I20" i="28"/>
  <c r="I19" i="28"/>
  <c r="I17" i="28"/>
  <c r="I10" i="28"/>
  <c r="I8" i="28"/>
  <c r="I15" i="28"/>
  <c r="I12" i="28"/>
  <c r="K30" i="28"/>
  <c r="K13" i="24"/>
  <c r="K30" i="24"/>
  <c r="I29" i="24"/>
  <c r="I24" i="24"/>
  <c r="I19" i="24"/>
  <c r="I11" i="24"/>
  <c r="I5" i="24"/>
  <c r="I27" i="24"/>
  <c r="I28" i="24"/>
  <c r="I23" i="24"/>
  <c r="I17" i="24"/>
  <c r="I10" i="24"/>
  <c r="I21" i="24"/>
  <c r="I15" i="24"/>
  <c r="I8" i="24"/>
  <c r="I25" i="24"/>
  <c r="I20" i="24"/>
  <c r="I12" i="24"/>
  <c r="I6" i="24"/>
  <c r="H28" i="24"/>
  <c r="H17" i="24"/>
  <c r="H7" i="24"/>
  <c r="H27" i="24"/>
  <c r="H21" i="24"/>
  <c r="H16" i="24"/>
  <c r="H11" i="24"/>
  <c r="H6" i="24"/>
  <c r="H25" i="24"/>
  <c r="H20" i="24"/>
  <c r="H15" i="24"/>
  <c r="H10" i="24"/>
  <c r="H29" i="24"/>
  <c r="H24" i="24"/>
  <c r="H19" i="24"/>
  <c r="H14" i="24"/>
  <c r="H8" i="24"/>
  <c r="H23" i="24"/>
  <c r="H12" i="24"/>
  <c r="G5" i="24"/>
  <c r="I9" i="28" l="1"/>
  <c r="G18" i="28"/>
  <c r="I22" i="28"/>
  <c r="G26" i="28"/>
  <c r="K31" i="28"/>
  <c r="H30" i="28"/>
  <c r="I26" i="28"/>
  <c r="G22" i="28"/>
  <c r="H9" i="28"/>
  <c r="G30" i="28"/>
  <c r="H13" i="28"/>
  <c r="I18" i="28"/>
  <c r="I13" i="28"/>
  <c r="I30" i="28"/>
  <c r="G9" i="28"/>
  <c r="H22" i="28"/>
  <c r="H26" i="28"/>
  <c r="H18" i="28"/>
  <c r="G13" i="28"/>
  <c r="K31" i="24"/>
  <c r="I13" i="24"/>
  <c r="I30" i="24"/>
  <c r="H30" i="24"/>
  <c r="I18" i="24"/>
  <c r="I26" i="24"/>
  <c r="H26" i="24"/>
  <c r="H22" i="24"/>
  <c r="I22" i="24"/>
  <c r="H18" i="24"/>
  <c r="H13" i="24"/>
  <c r="H9" i="24"/>
  <c r="I9" i="24"/>
  <c r="G27" i="24"/>
  <c r="G21" i="24"/>
  <c r="G16" i="24"/>
  <c r="G11" i="24"/>
  <c r="G6" i="24"/>
  <c r="G25" i="24"/>
  <c r="G20" i="24"/>
  <c r="G15" i="24"/>
  <c r="G10" i="24"/>
  <c r="G29" i="24"/>
  <c r="G24" i="24"/>
  <c r="G19" i="24"/>
  <c r="G14" i="24"/>
  <c r="G8" i="24"/>
  <c r="G28" i="24"/>
  <c r="G23" i="24"/>
  <c r="G17" i="24"/>
  <c r="G12" i="24"/>
  <c r="G7" i="24"/>
  <c r="L27" i="28" l="1"/>
  <c r="N27" i="28" s="1"/>
  <c r="L23" i="28"/>
  <c r="N23" i="28" s="1"/>
  <c r="I31" i="28"/>
  <c r="L14" i="28"/>
  <c r="N14" i="28" s="1"/>
  <c r="L19" i="28"/>
  <c r="N19" i="28" s="1"/>
  <c r="H31" i="28"/>
  <c r="L10" i="28"/>
  <c r="N10" i="28" s="1"/>
  <c r="L6" i="28"/>
  <c r="N6" i="28" s="1"/>
  <c r="G31" i="28"/>
  <c r="I31" i="24"/>
  <c r="H31" i="24"/>
  <c r="G9" i="24"/>
  <c r="G30" i="24"/>
  <c r="L27" i="24" s="1"/>
  <c r="M27" i="24" s="1"/>
  <c r="D9" i="26" s="1"/>
  <c r="J9" i="26" s="1"/>
  <c r="G26" i="24"/>
  <c r="L23" i="24" s="1"/>
  <c r="M23" i="24" s="1"/>
  <c r="D8" i="26" s="1"/>
  <c r="I8" i="26" s="1"/>
  <c r="G22" i="24"/>
  <c r="L19" i="24" s="1"/>
  <c r="M19" i="24" s="1"/>
  <c r="D7" i="26" s="1"/>
  <c r="H7" i="26" s="1"/>
  <c r="G18" i="24"/>
  <c r="L14" i="24" s="1"/>
  <c r="M14" i="24" s="1"/>
  <c r="D6" i="26" s="1"/>
  <c r="G6" i="26" s="1"/>
  <c r="G13" i="24"/>
  <c r="L10" i="24" s="1"/>
  <c r="M10" i="24" s="1"/>
  <c r="D5" i="26" s="1"/>
  <c r="F5" i="26" s="1"/>
  <c r="N31" i="28" l="1"/>
  <c r="L6" i="24"/>
  <c r="G31" i="24"/>
  <c r="M6" i="24" l="1"/>
  <c r="L31" i="24"/>
  <c r="D4" i="26" l="1"/>
  <c r="E4" i="26" s="1"/>
  <c r="J11" i="26" s="1"/>
  <c r="J12" i="26" s="1"/>
  <c r="C17" i="26" s="1"/>
  <c r="C18" i="26" s="1"/>
  <c r="D18" i="26" s="1"/>
  <c r="M31" i="24"/>
  <c r="D17" i="26" l="1"/>
  <c r="X42" i="17"/>
</calcChain>
</file>

<file path=xl/sharedStrings.xml><?xml version="1.0" encoding="utf-8"?>
<sst xmlns="http://schemas.openxmlformats.org/spreadsheetml/2006/main" count="5265" uniqueCount="538">
  <si>
    <t>PRODUCTOS COLOMBINA PRONOSTICO PONDERADO</t>
  </si>
  <si>
    <t>COD BARRA</t>
  </si>
  <si>
    <t>PRODUCTO</t>
  </si>
  <si>
    <t>MES 1</t>
  </si>
  <si>
    <t>MES 2</t>
  </si>
  <si>
    <t>MES 3</t>
  </si>
  <si>
    <t>MES 4</t>
  </si>
  <si>
    <t>MES 5</t>
  </si>
  <si>
    <t>MES 6</t>
  </si>
  <si>
    <t>MES7</t>
  </si>
  <si>
    <t>MES 8</t>
  </si>
  <si>
    <t>MES 9</t>
  </si>
  <si>
    <t>MES 10</t>
  </si>
  <si>
    <t>MES 11</t>
  </si>
  <si>
    <t>MES 12</t>
  </si>
  <si>
    <t>BONBOMBUM</t>
  </si>
  <si>
    <t>BONBOMBUM SIN RELLENO SABORES SURTIDOS</t>
  </si>
  <si>
    <t>POLVOS AZUCARADOS BIPBIP FRIO</t>
  </si>
  <si>
    <t>DULCE FRUTICAS</t>
  </si>
  <si>
    <t>DULCES DUROS</t>
  </si>
  <si>
    <t>DULCES DE CAFÉ</t>
  </si>
  <si>
    <t xml:space="preserve"> 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</si>
  <si>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</si>
  <si>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</si>
  <si>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</si>
  <si>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</si>
  <si>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</si>
  <si>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</si>
  <si>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</si>
  <si>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</si>
  <si>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LISTADO MAESTRO DE PRODUCTOS DE TRANSMILENIO LOGISTICA DE TRANSPORTE GRUPO NOCHE</t>
  </si>
  <si>
    <t>CODIGO</t>
  </si>
  <si>
    <t>SKU</t>
  </si>
  <si>
    <t>CODIGO DE BARRAS</t>
  </si>
  <si>
    <t>LINEA DE PRODUCTO</t>
  </si>
  <si>
    <t>TIPO DE PRODUCTO</t>
  </si>
  <si>
    <t>PRESENTACION COMERCIAL</t>
  </si>
  <si>
    <t>PRECIO PARA EL CONSUMIDOR</t>
  </si>
  <si>
    <t>Confiteria</t>
  </si>
  <si>
    <t>Terminado</t>
  </si>
  <si>
    <t>paq x 24</t>
  </si>
  <si>
    <t>paq x 100</t>
  </si>
  <si>
    <t>DULCES DE CAFÉ DUROS</t>
  </si>
  <si>
    <t>WAFER BRIDGE MINITACO FRESA</t>
  </si>
  <si>
    <t>Paq x 8</t>
  </si>
  <si>
    <t> 7702011047588</t>
  </si>
  <si>
    <t>Galleteria</t>
  </si>
  <si>
    <t>WAFER BRIDGE MINITACO VAINILLA</t>
  </si>
  <si>
    <t>Paq x 9</t>
  </si>
  <si>
    <t> 7702011005397</t>
  </si>
  <si>
    <t>WAFER NUCITA CUBIERTA DE CHOCOLATE</t>
  </si>
  <si>
    <t>Paq x 10</t>
  </si>
  <si>
    <t>MUUU GALLETA DE CHOCOLATE</t>
  </si>
  <si>
    <t>PIAZZA CHOCOLATE</t>
  </si>
  <si>
    <t> 7702011026439</t>
  </si>
  <si>
    <t>PIAZZA FRESA</t>
  </si>
  <si>
    <t>Paq x 6</t>
  </si>
  <si>
    <t>PONKY PONQUE</t>
  </si>
  <si>
    <t> 7702011048042</t>
  </si>
  <si>
    <t>CRAQUEÑAS GALLETAS SALTIN TACO</t>
  </si>
  <si>
    <t>Paq x 7</t>
  </si>
  <si>
    <t> 7702011046703</t>
  </si>
  <si>
    <t>NUCITA</t>
  </si>
  <si>
    <t>Chocolates y Café</t>
  </si>
  <si>
    <t>X 6 UND</t>
  </si>
  <si>
    <t>BARRA DE CHOCOLATE KICK</t>
  </si>
  <si>
    <t>CHOCO BREAK</t>
  </si>
  <si>
    <t>X 30 UND</t>
  </si>
  <si>
    <t xml:space="preserve">CHOCO MASMELOS </t>
  </si>
  <si>
    <t>X 12 UND</t>
  </si>
  <si>
    <t>CAFÉ BUEN DIA</t>
  </si>
  <si>
    <t>X 85 GR</t>
  </si>
  <si>
    <t>ESTUCHES DE BOMBONES</t>
  </si>
  <si>
    <t>SARDINA VAN CAMP’S EN TOMATE POR 425 gr</t>
  </si>
  <si>
    <t xml:space="preserve"> 425 grs.</t>
  </si>
  <si>
    <t>Enlatados de pescado</t>
  </si>
  <si>
    <t>SARDINA VAN CAMP’S EN ACEITE  DE 298 gr</t>
  </si>
  <si>
    <t>298 grs</t>
  </si>
  <si>
    <t>SARDINA VAN CAMP’S EN TOMATE DE 170 gr</t>
  </si>
  <si>
    <t>170 grs</t>
  </si>
  <si>
    <t>ATUN VAN CAMP’S EN AGUA DE 184 gr</t>
  </si>
  <si>
    <t>184 grs</t>
  </si>
  <si>
    <t>ATUN VAN CAMP’S EN AGUA DE 354 gr</t>
  </si>
  <si>
    <t>354 grs</t>
  </si>
  <si>
    <t>ATUN VAN CAMP’S EN ACEITE DE 184 gr</t>
  </si>
  <si>
    <t>ATUN VAN CAMP’S EN ACEITE DE 354 gr</t>
  </si>
  <si>
    <t>AREQUIPE COLOMBINA POR 50 gr</t>
  </si>
  <si>
    <t>50  grs</t>
  </si>
  <si>
    <t>Postres</t>
  </si>
  <si>
    <t>AREQUIPE COLOMBINA POR 250 gr</t>
  </si>
  <si>
    <t>250 grs</t>
  </si>
  <si>
    <t>AREQUIPE COLOMBINA POR 500 gr</t>
  </si>
  <si>
    <t>500 grs</t>
  </si>
  <si>
    <t>LECHE CONDENSADA COLOMBINA POR 300 gr</t>
  </si>
  <si>
    <t>300 grs</t>
  </si>
  <si>
    <t>LECHE CONDENSADA COLOMBINA POR 400 gr</t>
  </si>
  <si>
    <t>400 grs</t>
  </si>
  <si>
    <t>Helados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</si>
  <si>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</si>
  <si>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</si>
  <si>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</si>
  <si>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</si>
  <si>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</si>
  <si>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</si>
  <si>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</si>
  <si>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</si>
  <si>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 xml:space="preserve">SALSA DE TOMATE </t>
  </si>
  <si>
    <t>DOY PACK * 400 g</t>
  </si>
  <si>
    <t>Salsas y conservas</t>
  </si>
  <si>
    <t>14 ONZAS</t>
  </si>
  <si>
    <t>DOY PACK * 200 g</t>
  </si>
  <si>
    <t>7 ONZAS</t>
  </si>
  <si>
    <t xml:space="preserve">SALSA MOSTANEZA ORIGINAL </t>
  </si>
  <si>
    <t>SALSA MOSTANEZ RANCHERA</t>
  </si>
  <si>
    <t>DOY PACK * 380 g</t>
  </si>
  <si>
    <t>13.3 ONZAS</t>
  </si>
  <si>
    <t>MERMELADA DE FRUTOS ROJOS</t>
  </si>
  <si>
    <t>DOY PACK  * 200 g</t>
  </si>
  <si>
    <t>MERMELADA DE PIÑA</t>
  </si>
  <si>
    <t>VINAGRETA</t>
  </si>
  <si>
    <t>FRASCO * 325g</t>
  </si>
  <si>
    <t>11 ONZAS</t>
  </si>
  <si>
    <t>SALSA PARA PASTAS CON CHAMPIÑONES</t>
  </si>
  <si>
    <t>FRASCO * 450g</t>
  </si>
  <si>
    <t>15.7 ONZAS</t>
  </si>
  <si>
    <t>RED LARGA</t>
  </si>
  <si>
    <t>RED MEDIA</t>
  </si>
  <si>
    <t>RED CORTA</t>
  </si>
  <si>
    <t>GRANDES SUERFICIES</t>
  </si>
  <si>
    <t>MERCADOS DE ABASTO</t>
  </si>
  <si>
    <t>TIENDAS DIRECTAS</t>
  </si>
  <si>
    <t>COMERCIO ELECTRONICO</t>
  </si>
  <si>
    <t>total año</t>
  </si>
  <si>
    <t>TOTAL PRE* PRONOSTICO</t>
  </si>
  <si>
    <t>PORCENT DE PART POR PRODUCTO</t>
  </si>
  <si>
    <t>ACUMULADO DEL PONCETAJE</t>
  </si>
  <si>
    <t>TOTAL PRON AÑO</t>
  </si>
  <si>
    <t>PRECIO DEL PRODUCTO</t>
  </si>
  <si>
    <t>PORCENTAJE DE PAGO</t>
  </si>
  <si>
    <t>CANTIDAD DE REPRESENTACION</t>
  </si>
  <si>
    <t>PRECIO TOTAL</t>
  </si>
  <si>
    <t>MAYORISTA CANT. UNI</t>
  </si>
  <si>
    <t>MINORISTA CANT. UNI</t>
  </si>
  <si>
    <t>DETALLISTA CANT. UNI.</t>
  </si>
  <si>
    <t>TIENDA LOCAL CANT. UNI</t>
  </si>
  <si>
    <t>VENDEDOR INFORMAL CANT. UNI.</t>
  </si>
  <si>
    <t xml:space="preserve">PRECIO TOTAL </t>
  </si>
  <si>
    <t>DESCUENTO</t>
  </si>
  <si>
    <t>TOTAL CON DESCUENTO</t>
  </si>
  <si>
    <t>PORCENTAGE</t>
  </si>
  <si>
    <t>PRECIO DE COSTO</t>
  </si>
  <si>
    <t>SUPERMERCADO CANT. UNI.</t>
  </si>
  <si>
    <t>HIPERMERCADO CANT. UNI.</t>
  </si>
  <si>
    <t>HIPERMERCADOS</t>
  </si>
  <si>
    <t>RED DE DISTRIBUCION COLOMBINA S.A.</t>
  </si>
  <si>
    <t>PRECIO DE LISTA</t>
  </si>
  <si>
    <t>COSTO FABRICA</t>
  </si>
  <si>
    <t>NETO</t>
  </si>
  <si>
    <t>RENTABILIDAD</t>
  </si>
  <si>
    <t>ANALISIS RED CORTA</t>
  </si>
  <si>
    <t>ANALISIS RED MEDIA</t>
  </si>
  <si>
    <t>ANALISIS RED LARGA</t>
  </si>
  <si>
    <t>CLIENTES</t>
  </si>
  <si>
    <t>MAYORISTA</t>
  </si>
  <si>
    <t xml:space="preserve">SUPERMERCADO </t>
  </si>
  <si>
    <t>GRANDES SUPERFICIES</t>
  </si>
  <si>
    <t>NOMBRE</t>
  </si>
  <si>
    <t>LISTA DE CLIENTES COLOMBINA S.A.     2012</t>
  </si>
  <si>
    <t>LISTA DE PEDIDO CLIENTES COLOMBINA S.A.     2012</t>
  </si>
  <si>
    <t>PEDIDO A MAYORISTA</t>
  </si>
  <si>
    <t>PEDIDO A SUPERMERCADOS</t>
  </si>
  <si>
    <t>PEDIDO A HIPERMERCADOS</t>
  </si>
  <si>
    <t>CAN DE PRODUCTOS</t>
  </si>
  <si>
    <t>VALOR MERCANCIA DE SUPERMERCADOS</t>
  </si>
  <si>
    <t>VALOR MERCANCIA A MAYORISTAS</t>
  </si>
  <si>
    <t>VALOR PEDIDO A HIPERMERCADOS</t>
  </si>
  <si>
    <t>VALOR MERCANCIA GRANDES SUPERFICIES</t>
  </si>
  <si>
    <t>VALOR PEDIDO MERCADOS DE ABASTO</t>
  </si>
  <si>
    <t>VALOR PEDIDO TIENDAS DIRECTAS</t>
  </si>
  <si>
    <t>VALOR PEDIDO COMERCIO ELECTRONICO</t>
  </si>
  <si>
    <t>VALOR PEDIDO HIPERMERCADOS</t>
  </si>
  <si>
    <t>LISTA DE VISITAS CLIENTES COLOMBINA S.A.     2012</t>
  </si>
  <si>
    <t>MAYORISTAS</t>
  </si>
  <si>
    <t>SUPERMERCADOS</t>
  </si>
  <si>
    <t>TIPO DE RED</t>
  </si>
  <si>
    <t>PROGRAMACION DE VISITAS PARA EL MES</t>
  </si>
  <si>
    <t>X</t>
  </si>
  <si>
    <t>CANTIDAD DE CLIENTES</t>
  </si>
  <si>
    <t>MERCADO DE ABASTO</t>
  </si>
  <si>
    <t>CAPACIDAD DE ENDUEDAMIENTO CLIENTES COLOMBINA S.A 2012</t>
  </si>
  <si>
    <t>RED LARGA-MAYORISTA</t>
  </si>
  <si>
    <t>PRECIO</t>
  </si>
  <si>
    <t>POC/PRON ANUAL</t>
  </si>
  <si>
    <t>CAPA * PROD</t>
  </si>
  <si>
    <t>RED MEDIA-supermercados-hipermercados</t>
  </si>
  <si>
    <t>CAN_sup_hip</t>
  </si>
  <si>
    <t>PED_sup_hip</t>
  </si>
  <si>
    <t>VAL_TOT_sup_hip</t>
  </si>
  <si>
    <t>RED CORTA-GRANDES SUPERFICIES</t>
  </si>
  <si>
    <t>RED CORTA-MERCADOS DE ABASTO</t>
  </si>
  <si>
    <t>CAN_MERCADO</t>
  </si>
  <si>
    <t>PED_ABASTO</t>
  </si>
  <si>
    <t>VAL_TOT_ABASTO</t>
  </si>
  <si>
    <t>RED CORTA-TIENDAS DIRECTAS</t>
  </si>
  <si>
    <t>RED CORTA-COMERCIO ELECTRONICO</t>
  </si>
  <si>
    <t>RED CORTA-HIPERMERCADOS</t>
  </si>
  <si>
    <t xml:space="preserve"> X</t>
  </si>
  <si>
    <t>MAYORISTA CANT. UNI 50</t>
  </si>
  <si>
    <t>MAYORISTA CANT. UNI 20</t>
  </si>
  <si>
    <t>MODO DE EMPAQUE</t>
  </si>
  <si>
    <t>paq *24</t>
  </si>
  <si>
    <t>SIX-PACK X 6</t>
  </si>
  <si>
    <t xml:space="preserve">MAYORISTA </t>
  </si>
  <si>
    <t>CAJA X 24</t>
  </si>
  <si>
    <t>CAJA X 12</t>
  </si>
  <si>
    <t>CAJA X 25</t>
  </si>
  <si>
    <t>CAJA X 20</t>
  </si>
  <si>
    <t>MEDIDAS CAJA MTS 3</t>
  </si>
  <si>
    <t xml:space="preserve">CAJA X 20 </t>
  </si>
  <si>
    <t>CAJA X20</t>
  </si>
  <si>
    <t>PAQ X 24</t>
  </si>
  <si>
    <t>BOLSA X 50</t>
  </si>
  <si>
    <t>CAJA X 100</t>
  </si>
  <si>
    <t>CAJA X 4</t>
  </si>
  <si>
    <t>CAJA X 8</t>
  </si>
  <si>
    <t>PAQ X 6</t>
  </si>
  <si>
    <t>ESTUCHE X 24</t>
  </si>
  <si>
    <t>CAJA X 18</t>
  </si>
  <si>
    <t>CAJA X 48</t>
  </si>
  <si>
    <t>PESO EN KGM</t>
  </si>
  <si>
    <t>PESO COMERCIAL TOTAL</t>
  </si>
  <si>
    <t>PESO TOTAL POR CAJA</t>
  </si>
  <si>
    <t>PAQ X 12</t>
  </si>
  <si>
    <t>CAJA X7</t>
  </si>
  <si>
    <t>CAJA X2</t>
  </si>
  <si>
    <t>PESO POR BOLSA</t>
  </si>
  <si>
    <t>PESO MERC POR CAJA</t>
  </si>
  <si>
    <t>PESO NETO DE LA CARGA</t>
  </si>
  <si>
    <t>VOLUMEN DE LA CAJA</t>
  </si>
  <si>
    <t>PESO POR CAJA</t>
  </si>
  <si>
    <t xml:space="preserve">PESO TOTAL CARGA </t>
  </si>
  <si>
    <t>ZONAS</t>
  </si>
  <si>
    <t>CANTIDAD</t>
  </si>
  <si>
    <t>USAQUEN</t>
  </si>
  <si>
    <t>SUBA</t>
  </si>
  <si>
    <t>ENGATIVA</t>
  </si>
  <si>
    <t>FONTIBON</t>
  </si>
  <si>
    <t>KENNEDY</t>
  </si>
  <si>
    <t>BOSA</t>
  </si>
  <si>
    <t>PUENTE ARANDA</t>
  </si>
  <si>
    <t>TEUSAQUILLO</t>
  </si>
  <si>
    <t>BARRIOS UNIDOS</t>
  </si>
  <si>
    <t>CHAPINERO</t>
  </si>
  <si>
    <t>LOS MARTIRES</t>
  </si>
  <si>
    <t>SANTAFE</t>
  </si>
  <si>
    <t>CANDELARIA</t>
  </si>
  <si>
    <t>ANTONIO NARINO</t>
  </si>
  <si>
    <t>RAFAEL URIBE</t>
  </si>
  <si>
    <t>TUNJUELITO</t>
  </si>
  <si>
    <t>CIUDAD BOLIVAR</t>
  </si>
  <si>
    <t>USME</t>
  </si>
  <si>
    <t>SUMAPAZ</t>
  </si>
  <si>
    <t>LARGA</t>
  </si>
  <si>
    <t>SAN CRISTOBAL</t>
  </si>
  <si>
    <t>MEDIA</t>
  </si>
  <si>
    <t>CORTA</t>
  </si>
  <si>
    <t>DIRECCIONES</t>
  </si>
  <si>
    <t>CRA 10 CALLE 11</t>
  </si>
  <si>
    <t>CRA 7 CALLE 15</t>
  </si>
  <si>
    <t>CRA 4 CLLE 15</t>
  </si>
  <si>
    <t>CRA 3 CALLE 13</t>
  </si>
  <si>
    <t>CAR 15 CALLE 12</t>
  </si>
  <si>
    <t>CRA 15 CALLE 14</t>
  </si>
  <si>
    <t>CRA 7 CALLE 127</t>
  </si>
  <si>
    <t>CRA 7 CLLE 116</t>
  </si>
  <si>
    <t>CRA 15 CALLE 123</t>
  </si>
  <si>
    <t>CRA 19 CALLE 118</t>
  </si>
  <si>
    <t>CANTIDAD DE CAJAS</t>
  </si>
  <si>
    <t>PEDIDO POR VISITA</t>
  </si>
  <si>
    <t>VOLUMEN CARGA POR VISITA</t>
  </si>
  <si>
    <t>PESO CARGA POR PEDIDO</t>
  </si>
  <si>
    <t>CAN POR MAY</t>
  </si>
  <si>
    <t>TOTAL MAYORISTAS</t>
  </si>
  <si>
    <t>VALOR TOTAL POR MAYORISTA</t>
  </si>
  <si>
    <t xml:space="preserve">volumen de la carga </t>
  </si>
  <si>
    <t>can _ abasto</t>
  </si>
  <si>
    <t>ped abasto</t>
  </si>
  <si>
    <t>val_tot de abasto</t>
  </si>
  <si>
    <t>CAN_comercio electronico</t>
  </si>
  <si>
    <t>pedido comercio electronico</t>
  </si>
  <si>
    <t>valor total</t>
  </si>
  <si>
    <t>CENTROS DE DISTRIBUCION COLOMBINA S.A.</t>
  </si>
  <si>
    <t>DIR</t>
  </si>
  <si>
    <t>CANT_CLIEN_RED CORTA</t>
  </si>
  <si>
    <t>CENTRO 3</t>
  </si>
  <si>
    <t>CENTRO 6</t>
  </si>
  <si>
    <t>ANTONIO NARIÑO</t>
  </si>
  <si>
    <t>CANT_CLIEN_RED LARGA(MAYORISTA)</t>
  </si>
  <si>
    <t>VOLUMEN DE LA CARGA (MAYORISTA)</t>
  </si>
  <si>
    <t>CANT_CLIEN_RED MEDIA(    SUPERMERCADO-HIPERMERCADO)</t>
  </si>
  <si>
    <t>VOLUMEN DE LA CARGA (SUPERMERCADO HIPERMERCADOS)</t>
  </si>
  <si>
    <t>VOLUMNE DE LA CARGA RED CORTA</t>
  </si>
  <si>
    <t>TOTAL CENTRO 1</t>
  </si>
  <si>
    <t>TOTAL CENTRO 2</t>
  </si>
  <si>
    <t>TOTAL CENTRO 3</t>
  </si>
  <si>
    <t>TOTAL CENTRO 4</t>
  </si>
  <si>
    <t>TOTAL CENTRO 5</t>
  </si>
  <si>
    <t>TOTAL CENTRO 6</t>
  </si>
  <si>
    <t>AVENIDA CARACAS CALLE 66 SUR</t>
  </si>
  <si>
    <t>CENTRO DE DISTRIBUCION ZONA 1</t>
  </si>
  <si>
    <t>CENTRO DE DISTRIBUCION ZONA 2</t>
  </si>
  <si>
    <t>CALLE 17 SUR CARRERA 26</t>
  </si>
  <si>
    <t>CENTRO DE DISTRIBUCION ZONA 4</t>
  </si>
  <si>
    <t>CARRERA 34 A CALLE 10</t>
  </si>
  <si>
    <t>AVENIDA CALI CRRERA 87 A</t>
  </si>
  <si>
    <t>CENTRO DE DISTRIBUCION ZONA 5</t>
  </si>
  <si>
    <t>CALLE 61 A CARRERA 13 A</t>
  </si>
  <si>
    <t>CALLE 68 CARRERA 24</t>
  </si>
  <si>
    <t>TOTAL METROS CUBICOS  POR ZONAS</t>
  </si>
  <si>
    <t>TOTALES</t>
  </si>
  <si>
    <t>PROGRAMACION DE DISTRIBUCION EN LOS DIAS DEL MES</t>
  </si>
  <si>
    <t xml:space="preserve">  </t>
  </si>
  <si>
    <t>TIPOS Y CANTIDAD DE CAMIONES   (SIDERS MB 1214)(CAPA 11 TON DIM 55 M3)</t>
  </si>
  <si>
    <t>L</t>
  </si>
  <si>
    <t>M</t>
  </si>
  <si>
    <t>J</t>
  </si>
  <si>
    <t>V</t>
  </si>
  <si>
    <t>S</t>
  </si>
  <si>
    <t>D</t>
  </si>
  <si>
    <t>CRA 7 X CLL 127</t>
  </si>
  <si>
    <t>CLL 97 146 A X CR 97</t>
  </si>
  <si>
    <t>CLL 146 X CRA 80</t>
  </si>
  <si>
    <t xml:space="preserve">CLL 145 A X AV SUBA </t>
  </si>
  <si>
    <t>CRA 106 B X AV SUBA</t>
  </si>
  <si>
    <t>CLL 150 B X CRA 104</t>
  </si>
  <si>
    <t>CRA 111 A X CLL 151 D</t>
  </si>
  <si>
    <t>CRA 102 X CLL 80</t>
  </si>
  <si>
    <t>CRA 96  X CLL 71 C</t>
  </si>
  <si>
    <t>CRA 106 X CLL 80 A</t>
  </si>
  <si>
    <t>CRA 112 X CLL 78F</t>
  </si>
  <si>
    <t>CRA 103 B X DIAGONAL 16 B</t>
  </si>
  <si>
    <t>CLL 23 G X CRA 98</t>
  </si>
  <si>
    <t>CRA 103 B X CLL 24</t>
  </si>
  <si>
    <t>CRA 102 X CLL 17</t>
  </si>
  <si>
    <t>CLL 100 X CRA 16</t>
  </si>
  <si>
    <t>CRA 83 X CLL 22</t>
  </si>
  <si>
    <t>CRA 78 B X CLL  56 C SUR</t>
  </si>
  <si>
    <t>CLL 49 B SUR X TRANSV 78 H</t>
  </si>
  <si>
    <t>AV BOYACA X AV 1ro MAYO</t>
  </si>
  <si>
    <t>CLL 9 A SUR X CRA 68</t>
  </si>
  <si>
    <t>CLL 64 SUR X CRA 80</t>
  </si>
  <si>
    <t>CRA 79 C X CLL 65 SUR</t>
  </si>
  <si>
    <t>CRA 77 H X CLL 65 G SUR</t>
  </si>
  <si>
    <t>CLL 65 F SUR X CRA 81 H</t>
  </si>
  <si>
    <t>CRA 80 X CLL 51 SUR</t>
  </si>
  <si>
    <t>CRA 2da  A X AV 1ro DE MAYO</t>
  </si>
  <si>
    <t>CRA 68 X AV AMERICAS</t>
  </si>
  <si>
    <t>CLL 12 X CRA 38</t>
  </si>
  <si>
    <t>CRA 60 X CLL 12</t>
  </si>
  <si>
    <t>CRA 47 X CLL 13</t>
  </si>
  <si>
    <t>CRA 38 X CLL 3</t>
  </si>
  <si>
    <t>CLL 13 A X CRA 28</t>
  </si>
  <si>
    <t>CRA 7 X DIAG 26</t>
  </si>
  <si>
    <t>CLL 34 X AV CARACAS</t>
  </si>
  <si>
    <t xml:space="preserve">CRA 10 CALLE 11 </t>
  </si>
  <si>
    <t>CLL 23 B X CRA 68 D</t>
  </si>
  <si>
    <t>CLL 68 X AV CHILE</t>
  </si>
  <si>
    <t>CLL 68 X CRA 80</t>
  </si>
  <si>
    <t>AV CIUDAD DE CALI X CRA 83</t>
  </si>
  <si>
    <t>CLL53 X CRA 13</t>
  </si>
  <si>
    <t>CLL 60 X CRA 14 A</t>
  </si>
  <si>
    <t>CLL 64 A X AV CARACAS</t>
  </si>
  <si>
    <t>CRA 7 X CLL 72</t>
  </si>
  <si>
    <t xml:space="preserve">CRA 7 CALLE 15 </t>
  </si>
  <si>
    <t>CRA 3 CLLE 15</t>
  </si>
  <si>
    <t>CRA 15 CALLE 12</t>
  </si>
  <si>
    <t xml:space="preserve">CRA 15 CALLE 14      </t>
  </si>
  <si>
    <t>CRA 1 X CLL 20 A SUR</t>
  </si>
  <si>
    <t>CLL 22 A X CRA 16</t>
  </si>
  <si>
    <t>CRA 19 A X CLL 19</t>
  </si>
  <si>
    <t>CRA 26 X CLL 19</t>
  </si>
  <si>
    <t>CLL 26 X CRA 13</t>
  </si>
  <si>
    <t>CRA 23 X CLL 48 B SUR</t>
  </si>
  <si>
    <t>DIAG 46 X CRA 22</t>
  </si>
  <si>
    <t>CRA 47 B XC LL 23</t>
  </si>
  <si>
    <t>CRA 20 C X CLL 68 D BIS</t>
  </si>
  <si>
    <t>CRA 22 X AV 1ro MAYO</t>
  </si>
  <si>
    <t>CRA 27 X AV 1ro MAYO</t>
  </si>
  <si>
    <t>CRA 30 X CLL 17 A</t>
  </si>
  <si>
    <t>CRA 19 X CLL 16 SUR</t>
  </si>
  <si>
    <t>CRA 19 X CLL 30 SUR</t>
  </si>
  <si>
    <t>CLL 36 AA SUR X CRA 9 A</t>
  </si>
  <si>
    <t>CLL 27 SUR X CRA 7</t>
  </si>
  <si>
    <t>CRA 10 D X CLL 23 SUR</t>
  </si>
  <si>
    <t>CLL 65 SUR X AV CARACAS</t>
  </si>
  <si>
    <t>CRA 5ta X DIAGONAL 48 SUR</t>
  </si>
  <si>
    <t>CRA 11 A X DIAG 50 D</t>
  </si>
  <si>
    <t>CRA 6ta B ESTE X DIAG 43 A SUR</t>
  </si>
  <si>
    <t>CRA 23 X CLL 46 A SUR</t>
  </si>
  <si>
    <t>CLL 60 A SUR X CRA 70 C</t>
  </si>
  <si>
    <t>TRANSV 2da  XCLL 15 ESTE</t>
  </si>
  <si>
    <t>CRA 55 A X AV BOYACA</t>
  </si>
  <si>
    <t>CRA 68 I X AV BOYACA</t>
  </si>
  <si>
    <t>CLL 1 A X CRA 2 A ESTE</t>
  </si>
  <si>
    <t>CLL 73A BIS SUR X CRA 3 B</t>
  </si>
  <si>
    <t>CLL 73 A SUR X CARACAS</t>
  </si>
  <si>
    <t>CRA 3 X CLL 70 BIS SUR</t>
  </si>
  <si>
    <t>CRA 4 X AV BOYACA</t>
  </si>
  <si>
    <t>CLL 19 A X CRA 82</t>
  </si>
  <si>
    <t>CRA 78 A X CLL 59 SUR</t>
  </si>
  <si>
    <t>CLL 25 X AV 1 DE MAYO</t>
  </si>
  <si>
    <t>CRA 24 B X CLL 46 SUR</t>
  </si>
  <si>
    <t>AV CARACAS X CLL 73 D SUR</t>
  </si>
  <si>
    <t>CLL 68 F SUR X CRA 71 G</t>
  </si>
  <si>
    <t>AV CALI X CLL 42 SUR</t>
  </si>
  <si>
    <t>CRA 13 A X CLL 62</t>
  </si>
  <si>
    <t>AV 1 MAYO X CRA 6</t>
  </si>
  <si>
    <t>CRA 90 X CLL 72</t>
  </si>
  <si>
    <t>CRA 72 X AUTOPISTA SUR</t>
  </si>
  <si>
    <t>CLL 11 SUR X CRA 10</t>
  </si>
  <si>
    <t>CRA 7 X CLL 191</t>
  </si>
  <si>
    <t>DIAG 51 SUR X CRA 17</t>
  </si>
  <si>
    <t>CRA 104 X CLL 150 B</t>
  </si>
  <si>
    <t>CLL 13 SUR X CRA 21</t>
  </si>
  <si>
    <t>CRA 109 A X CLL 64 BIS</t>
  </si>
  <si>
    <t>AV CALI X CRA 82</t>
  </si>
  <si>
    <t>CLL 64 A SUR X CRA 23</t>
  </si>
  <si>
    <t>CRA 20 A X CLL 28</t>
  </si>
  <si>
    <t>CLL 76 B SUR X CRA 2da ESTE</t>
  </si>
  <si>
    <t>TRANSV 17 E X CLL 77</t>
  </si>
  <si>
    <t>AMERICAS X AV CALI</t>
  </si>
  <si>
    <t>CRA 11 X CLL 63</t>
  </si>
  <si>
    <t>CRA 2 X CLL 41 A SUR</t>
  </si>
  <si>
    <t>CLL 73 B X CRA 114</t>
  </si>
  <si>
    <t>CRA 72 K X CLL 34 SUR</t>
  </si>
  <si>
    <t>CLL 22 SUR X CRA 8</t>
  </si>
  <si>
    <t xml:space="preserve">CLL 187 A X CRA 7 A </t>
  </si>
  <si>
    <t>CLL 50 A SUR X CRA 10</t>
  </si>
  <si>
    <t xml:space="preserve">AV SUBA X CLL 150 A </t>
  </si>
  <si>
    <t>CLL 13 X CRA 53</t>
  </si>
  <si>
    <t>CLL 17 SUR X CRA 25</t>
  </si>
  <si>
    <t>CLL 52 X NQS</t>
  </si>
  <si>
    <t>TRANSV 59 A X CLL 57 A</t>
  </si>
  <si>
    <t>CLL 59 B BIS SUR X CRA 38</t>
  </si>
  <si>
    <t>CLL 32  X CRA 16</t>
  </si>
  <si>
    <t>CLL 13 X CRA 18</t>
  </si>
  <si>
    <t>CLL 19 X CRA 30</t>
  </si>
  <si>
    <t>INTERNET</t>
  </si>
  <si>
    <t>CLL 15 SUR X CRA 21</t>
  </si>
  <si>
    <t>CLL 16 SUR X CRA 21</t>
  </si>
  <si>
    <t>CRA 19 X CLL 19 SUR</t>
  </si>
  <si>
    <t>CRA 69 P X CLL 80</t>
  </si>
  <si>
    <t xml:space="preserve">CRA 68 X CLL 75 A </t>
  </si>
  <si>
    <t>CLL 80 X CRA 68</t>
  </si>
  <si>
    <t>CLL 18 X CRA 18 A</t>
  </si>
  <si>
    <t xml:space="preserve">CRA 90 C X CLL 6 A </t>
  </si>
  <si>
    <t>CRA 86 A X CLL 38 SUR</t>
  </si>
  <si>
    <t>CLL 60 A SUR X CRA 45</t>
  </si>
  <si>
    <t>CLL 65 X CRA 13</t>
  </si>
  <si>
    <t>CLL 63 X CRA 13</t>
  </si>
  <si>
    <t>CLL 53 X CARACAS</t>
  </si>
  <si>
    <t>CLL 44 BIS B SUR X TRANSV 68 C</t>
  </si>
  <si>
    <t>TRANSV 72 BIS X CLL 44 F</t>
  </si>
  <si>
    <t>CRA 72 L X CLL 39 A BIS C SUR</t>
  </si>
  <si>
    <t>CRA 66 X AV LA ESPERANZA</t>
  </si>
  <si>
    <t>CLL 83 A X CRA 112 F</t>
  </si>
  <si>
    <t>CLL 71 C X CRA 96</t>
  </si>
  <si>
    <t>CRA 101 X CLL 80</t>
  </si>
  <si>
    <t>DIAG 16 X CRA 106</t>
  </si>
  <si>
    <t>CLL 19 X CRA 25</t>
  </si>
  <si>
    <t>CRA 112 X CLL 17 C BIS</t>
  </si>
  <si>
    <t>CRA 100 X CLL 18</t>
  </si>
  <si>
    <t>CLL 71 D X CLL 3 SUR</t>
  </si>
  <si>
    <t>CRA 71 A X CLL 8 SUR</t>
  </si>
  <si>
    <t>CRA 78 A X CLL 6 A</t>
  </si>
  <si>
    <t>CRA 78 C X CLL 8 B</t>
  </si>
  <si>
    <t>CLL 11 X CRA 17</t>
  </si>
  <si>
    <t>CLL 9 X CRA 18</t>
  </si>
  <si>
    <t>CLL 43 X CRA 9</t>
  </si>
  <si>
    <t>CRA 62 X CLL 17</t>
  </si>
  <si>
    <t>CRA 24 X AV 1 DE MAYO</t>
  </si>
  <si>
    <t>CLL 17 SUR X CRA 13 A</t>
  </si>
  <si>
    <t>CLL 30 F SUR X CRA 9</t>
  </si>
  <si>
    <t>CRA 6 X CLL 24 A SUR</t>
  </si>
  <si>
    <t>DIAG 22 C X CRA 22 D</t>
  </si>
  <si>
    <t>CLL 146 B X AV BOYACA</t>
  </si>
  <si>
    <t>CRA 58 X CLL 127 D</t>
  </si>
  <si>
    <t>CLL 124 X CRA 70</t>
  </si>
  <si>
    <t>CLL 153 X CRA 102</t>
  </si>
  <si>
    <t>CLL 146 D X CRA 99</t>
  </si>
  <si>
    <t>CLL 36 X CRA 7</t>
  </si>
  <si>
    <t>CLL 39 X CRA 7</t>
  </si>
  <si>
    <t>CRA 5 M X CLL 49 G SUR</t>
  </si>
  <si>
    <t>CLL 55 A X CRA 14</t>
  </si>
  <si>
    <t>CRA 15 X CLL 127</t>
  </si>
  <si>
    <t xml:space="preserve">CLL 152 X CRA 18 A </t>
  </si>
  <si>
    <t>CLL 133  X CRA 9</t>
  </si>
  <si>
    <t>DIAG 69 SUR X CRA 3 ESTE</t>
  </si>
  <si>
    <t>CLL 56 A SUR X CRA 1</t>
  </si>
  <si>
    <t>RED CENTROS Y CLIENTES COLOMBINA.kmz</t>
  </si>
  <si>
    <t xml:space="preserve">CONECTA CON GOOGLE EARTH </t>
  </si>
  <si>
    <t>RUTAS DE DISTRIBUCION</t>
  </si>
  <si>
    <t>BALANCE DE RUTAS Y DISTRIBUCION COLOMBINA S.A.</t>
  </si>
  <si>
    <t>LUNES</t>
  </si>
  <si>
    <t>MARTES</t>
  </si>
  <si>
    <t>MIERCOLES</t>
  </si>
  <si>
    <t>JUEVES</t>
  </si>
  <si>
    <t>VIERNES</t>
  </si>
  <si>
    <t>SABADO</t>
  </si>
  <si>
    <t>CENTRO 1</t>
  </si>
  <si>
    <t>CENTRO 2</t>
  </si>
  <si>
    <t>CENTRO 4</t>
  </si>
  <si>
    <t>CENTRO 5</t>
  </si>
  <si>
    <t>COSTOS DE TRANSPORTE SEMANAL</t>
  </si>
  <si>
    <t>TOTAL COSTO TRANSPORTE POR SEMANA</t>
  </si>
  <si>
    <t>TOTAL COSTO TRANSPORTE POR MES</t>
  </si>
  <si>
    <t>VALOR MERCANCIA POR MES</t>
  </si>
  <si>
    <t>TOTAL VALOR MERCANCIA</t>
  </si>
  <si>
    <t>BALANCE</t>
  </si>
  <si>
    <t>CANTIDAD DE VEHICULOS</t>
  </si>
  <si>
    <t>VALOR TOTAL MERCANCIA</t>
  </si>
  <si>
    <t>COSTO TRANSPORTE</t>
  </si>
  <si>
    <t>SALDO</t>
  </si>
  <si>
    <t>VALORES</t>
  </si>
  <si>
    <t>PORCENTAJES</t>
  </si>
  <si>
    <t>DISEÑO DE LAS REDES DE COLOMBINA S.A.</t>
  </si>
  <si>
    <t>CAPACIDAD DE ENDEUDAMIENTO</t>
  </si>
  <si>
    <t>PORECNTAJE ASIGNADO DE LA PRODUCCION</t>
  </si>
  <si>
    <t>CENTRO DE DISTRIBUCION ZONA 6</t>
  </si>
  <si>
    <t>VOLUMEN DE LA CARGA RED CORTA</t>
  </si>
  <si>
    <t>LOCALIDAD A CUBRIR</t>
  </si>
  <si>
    <t>CANTIDAD DE CLIENTES POR ZONAS</t>
  </si>
  <si>
    <t>LOCALIDADES A CUBRIR</t>
  </si>
  <si>
    <t>CENTRO DE DISTRIBUCION ZONA 3</t>
  </si>
  <si>
    <t>VALOR TOTAL</t>
  </si>
  <si>
    <t>VALOR/UNITARIO</t>
  </si>
  <si>
    <t>PRONOSTICO PARA EL MES</t>
  </si>
  <si>
    <t>MERCANCIA REAL VENDIDA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</si>
</sst>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#,##0;[Red]#,##0"/>
    <numFmt numFmtId="167" formatCode="_(* #,##0_);_(* \(#,##0\);_(* &quot;-&quot;??_);_(@_)"/>
    <numFmt numFmtId="168" formatCode="0_);\(0\)"/>
    <numFmt numFmtId="169" formatCode="_-* #,##0_-;\-* #,##0_-;_-* &quot;-&quot;??_-;_-@_-"/>
    <numFmt numFmtId="170" formatCode="0.0%"/>
    <numFmt numFmtId="171" formatCode="0.000%"/>
    <numFmt numFmtId="172" formatCode="[$$-240A]\ #,##0;[Red][$$-240A]\ #,##0"/>
    <numFmt numFmtId="173" formatCode="&quot;$&quot;#,##0;[Red]&quot;$&quot;#,##0"/>
    <numFmt numFmtId="174" formatCode="[$$-240A]\ #,##0"/>
    <numFmt numFmtId="175" formatCode="_-* #,##0.0_-;\-* #,##0.0_-;_-* &quot;-&quot;??_-;_-@_-"/>
    <numFmt numFmtId="176" formatCode="_(* #,##0.0_);_(* \(#,##0.0\);_(* &quot;-&quot;??_);_(@_)"/>
  </numFmts>
  <fonts count="7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sz val="12"/>
      <color rgb="FFC00000"/>
      <name val="Arial"/>
      <family val="2"/>
    </font>
    <font>
      <sz val="12"/>
      <color theme="5" tint="-0.249977111117893"/>
      <name val="Arial"/>
      <family val="2"/>
    </font>
    <font>
      <sz val="12"/>
      <color theme="6" tint="-0.49998474074526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sz val="8"/>
      <color rgb="FFC00000"/>
      <name val="Arial"/>
      <family val="2"/>
    </font>
    <font>
      <sz val="8"/>
      <color theme="5" tint="-0.249977111117893"/>
      <name val="Arial"/>
      <family val="2"/>
    </font>
    <font>
      <sz val="8"/>
      <color theme="3" tint="0.39997558519241921"/>
      <name val="Arial"/>
      <family val="2"/>
    </font>
    <font>
      <sz val="8"/>
      <color theme="6" tint="-0.499984740745262"/>
      <name val="Arial"/>
      <family val="2"/>
    </font>
    <font>
      <sz val="8"/>
      <color theme="9" tint="-0.249977111117893"/>
      <name val="Arial"/>
      <family val="2"/>
    </font>
    <font>
      <b/>
      <sz val="26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7030A0"/>
      <name val="Arial"/>
      <family val="2"/>
    </font>
    <font>
      <sz val="8"/>
      <color theme="5" tint="-0.499984740745262"/>
      <name val="Arial"/>
      <family val="2"/>
    </font>
    <font>
      <sz val="8"/>
      <color theme="3" tint="-0.499984740745262"/>
      <name val="Arial"/>
      <family val="2"/>
    </font>
    <font>
      <sz val="8"/>
      <color theme="9" tint="-0.499984740745262"/>
      <name val="Arial"/>
      <family val="2"/>
    </font>
    <font>
      <sz val="8"/>
      <color rgb="FF008000"/>
      <name val="Arial"/>
      <family val="2"/>
    </font>
    <font>
      <sz val="12"/>
      <color theme="3" tint="-0.499984740745262"/>
      <name val="Arial"/>
      <family val="2"/>
    </font>
    <font>
      <sz val="12"/>
      <color theme="5" tint="-0.499984740745262"/>
      <name val="Arial"/>
      <family val="2"/>
    </font>
    <font>
      <sz val="12"/>
      <color theme="9" tint="-0.499984740745262"/>
      <name val="Arial"/>
      <family val="2"/>
    </font>
    <font>
      <sz val="12"/>
      <color rgb="FF008000"/>
      <name val="Arial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24"/>
      <color theme="1"/>
      <name val="Arial"/>
      <family val="2"/>
    </font>
    <font>
      <b/>
      <i/>
      <sz val="11"/>
      <name val="Arial"/>
      <family val="2"/>
    </font>
    <font>
      <b/>
      <i/>
      <sz val="12"/>
      <name val="Arial"/>
      <family val="2"/>
    </font>
    <font>
      <b/>
      <sz val="16"/>
      <color theme="1"/>
      <name val="Arial"/>
      <family val="2"/>
    </font>
    <font>
      <sz val="10"/>
      <color rgb="FFFF0000"/>
      <name val="Arial"/>
      <family val="2"/>
    </font>
    <font>
      <sz val="10"/>
      <color theme="5" tint="-0.249977111117893"/>
      <name val="Arial"/>
      <family val="2"/>
    </font>
    <font>
      <sz val="10"/>
      <color theme="3" tint="-0.499984740745262"/>
      <name val="Arial"/>
      <family val="2"/>
    </font>
    <font>
      <sz val="10"/>
      <color theme="5" tint="-0.499984740745262"/>
      <name val="Arial"/>
      <family val="2"/>
    </font>
    <font>
      <sz val="10"/>
      <color theme="6" tint="-0.499984740745262"/>
      <name val="Arial"/>
      <family val="2"/>
    </font>
    <font>
      <sz val="10"/>
      <color theme="9" tint="-0.499984740745262"/>
      <name val="Arial"/>
      <family val="2"/>
    </font>
    <font>
      <sz val="10"/>
      <color rgb="FF008000"/>
      <name val="Arial"/>
      <family val="2"/>
    </font>
    <font>
      <b/>
      <sz val="14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7030A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8" fillId="0" borderId="0" applyNumberFormat="0" applyFill="0" applyBorder="0" applyAlignment="0" applyProtection="0"/>
  </cellStyleXfs>
  <cellXfs count="859">
    <xf numFmtId="0" fontId="0" fillId="0" borderId="0" xfId="0"/>
    <xf numFmtId="0" fontId="0" fillId="0" borderId="0" xfId="0"/>
    <xf numFmtId="0" fontId="0" fillId="0" borderId="0" xfId="0" applyBorder="1"/>
    <xf numFmtId="0" fontId="0" fillId="0" borderId="1" xfId="0" applyBorder="1"/>
    <xf numFmtId="166" fontId="0" fillId="0" borderId="1" xfId="0" applyNumberFormat="1" applyBorder="1"/>
    <xf numFmtId="0" fontId="0" fillId="0" borderId="1" xfId="0" applyBorder="1" applyAlignment="1">
      <alignment wrapText="1"/>
    </xf>
    <xf numFmtId="9" fontId="0" fillId="0" borderId="1" xfId="1" applyFont="1" applyBorder="1"/>
    <xf numFmtId="0" fontId="3" fillId="0" borderId="0" xfId="0" applyFont="1" applyAlignment="1">
      <alignment horizontal="center"/>
    </xf>
    <xf numFmtId="9" fontId="0" fillId="0" borderId="0" xfId="1" applyFont="1" applyBorder="1"/>
    <xf numFmtId="0" fontId="2" fillId="0" borderId="0" xfId="0" applyFont="1" applyBorder="1"/>
    <xf numFmtId="0" fontId="5" fillId="2" borderId="1" xfId="0" applyFont="1" applyFill="1" applyBorder="1"/>
    <xf numFmtId="0" fontId="0" fillId="0" borderId="0" xfId="0" applyBorder="1" applyAlignment="1">
      <alignment horizontal="left"/>
    </xf>
    <xf numFmtId="167" fontId="0" fillId="0" borderId="0" xfId="2" applyNumberFormat="1" applyFont="1" applyBorder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67" fontId="6" fillId="2" borderId="0" xfId="2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167" fontId="4" fillId="2" borderId="0" xfId="2" applyNumberFormat="1" applyFont="1" applyFill="1" applyBorder="1"/>
    <xf numFmtId="0" fontId="4" fillId="2" borderId="1" xfId="0" applyFont="1" applyFill="1" applyBorder="1"/>
    <xf numFmtId="1" fontId="5" fillId="2" borderId="1" xfId="2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167" fontId="5" fillId="2" borderId="1" xfId="2" applyNumberFormat="1" applyFont="1" applyFill="1" applyBorder="1"/>
    <xf numFmtId="1" fontId="5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vertical="center"/>
    </xf>
    <xf numFmtId="167" fontId="4" fillId="2" borderId="1" xfId="2" applyNumberFormat="1" applyFont="1" applyFill="1" applyBorder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8" fontId="7" fillId="2" borderId="1" xfId="3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 wrapText="1"/>
    </xf>
    <xf numFmtId="167" fontId="4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5" fillId="2" borderId="0" xfId="0" applyFont="1" applyFill="1" applyBorder="1"/>
    <xf numFmtId="0" fontId="0" fillId="0" borderId="0" xfId="0" applyAlignment="1">
      <alignment horizontal="left"/>
    </xf>
    <xf numFmtId="167" fontId="0" fillId="0" borderId="0" xfId="2" applyNumberFormat="1" applyFont="1"/>
    <xf numFmtId="0" fontId="8" fillId="2" borderId="1" xfId="0" applyFont="1" applyFill="1" applyBorder="1"/>
    <xf numFmtId="0" fontId="9" fillId="2" borderId="1" xfId="0" applyFont="1" applyFill="1" applyBorder="1"/>
    <xf numFmtId="0" fontId="2" fillId="0" borderId="0" xfId="0" applyFont="1"/>
    <xf numFmtId="166" fontId="0" fillId="0" borderId="5" xfId="0" applyNumberFormat="1" applyBorder="1"/>
    <xf numFmtId="3" fontId="0" fillId="0" borderId="1" xfId="0" applyNumberForma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/>
    <xf numFmtId="0" fontId="5" fillId="2" borderId="9" xfId="0" applyFont="1" applyFill="1" applyBorder="1"/>
    <xf numFmtId="167" fontId="0" fillId="0" borderId="1" xfId="2" applyNumberFormat="1" applyFont="1" applyFill="1" applyBorder="1"/>
    <xf numFmtId="1" fontId="0" fillId="0" borderId="1" xfId="0" applyNumberFormat="1" applyBorder="1"/>
    <xf numFmtId="166" fontId="0" fillId="0" borderId="0" xfId="0" applyNumberFormat="1"/>
    <xf numFmtId="167" fontId="0" fillId="2" borderId="7" xfId="2" applyNumberFormat="1" applyFont="1" applyFill="1" applyBorder="1"/>
    <xf numFmtId="167" fontId="0" fillId="2" borderId="1" xfId="2" applyNumberFormat="1" applyFont="1" applyFill="1" applyBorder="1"/>
    <xf numFmtId="167" fontId="0" fillId="2" borderId="11" xfId="2" applyNumberFormat="1" applyFont="1" applyFill="1" applyBorder="1"/>
    <xf numFmtId="3" fontId="0" fillId="0" borderId="1" xfId="0" applyNumberFormat="1" applyBorder="1" applyAlignment="1"/>
    <xf numFmtId="169" fontId="0" fillId="0" borderId="0" xfId="0" applyNumberFormat="1" applyFont="1"/>
    <xf numFmtId="0" fontId="0" fillId="0" borderId="0" xfId="0" applyFont="1"/>
    <xf numFmtId="1" fontId="0" fillId="2" borderId="1" xfId="0" applyNumberFormat="1" applyFont="1" applyFill="1" applyBorder="1" applyAlignment="1">
      <alignment horizontal="left"/>
    </xf>
    <xf numFmtId="0" fontId="0" fillId="2" borderId="1" xfId="0" applyFont="1" applyFill="1" applyBorder="1"/>
    <xf numFmtId="0" fontId="0" fillId="2" borderId="0" xfId="0" applyFont="1" applyFill="1"/>
    <xf numFmtId="167" fontId="1" fillId="2" borderId="0" xfId="2" applyNumberFormat="1" applyFont="1" applyFill="1"/>
    <xf numFmtId="171" fontId="1" fillId="0" borderId="0" xfId="1" applyNumberFormat="1" applyFont="1"/>
    <xf numFmtId="0" fontId="0" fillId="2" borderId="0" xfId="0" applyFont="1" applyFill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9" fontId="1" fillId="0" borderId="1" xfId="4" applyNumberFormat="1" applyFont="1" applyBorder="1"/>
    <xf numFmtId="169" fontId="0" fillId="0" borderId="1" xfId="0" applyNumberFormat="1" applyFont="1" applyBorder="1"/>
    <xf numFmtId="170" fontId="1" fillId="0" borderId="1" xfId="1" applyNumberFormat="1" applyFont="1" applyBorder="1"/>
    <xf numFmtId="170" fontId="0" fillId="3" borderId="1" xfId="0" applyNumberFormat="1" applyFont="1" applyFill="1" applyBorder="1"/>
    <xf numFmtId="9" fontId="0" fillId="0" borderId="0" xfId="1" applyFont="1"/>
    <xf numFmtId="9" fontId="4" fillId="0" borderId="1" xfId="1" applyFont="1" applyBorder="1" applyAlignment="1">
      <alignment horizontal="center" vertical="center" wrapText="1"/>
    </xf>
    <xf numFmtId="0" fontId="5" fillId="2" borderId="8" xfId="0" applyFont="1" applyFill="1" applyBorder="1"/>
    <xf numFmtId="0" fontId="4" fillId="2" borderId="0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9" fillId="4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1" fillId="2" borderId="7" xfId="0" applyFont="1" applyFill="1" applyBorder="1"/>
    <xf numFmtId="0" fontId="11" fillId="2" borderId="1" xfId="0" applyFont="1" applyFill="1" applyBorder="1"/>
    <xf numFmtId="0" fontId="13" fillId="2" borderId="1" xfId="0" applyFont="1" applyFill="1" applyBorder="1"/>
    <xf numFmtId="0" fontId="13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4" fillId="0" borderId="0" xfId="0" applyFont="1"/>
    <xf numFmtId="0" fontId="15" fillId="2" borderId="8" xfId="0" applyFont="1" applyFill="1" applyBorder="1"/>
    <xf numFmtId="0" fontId="16" fillId="2" borderId="7" xfId="0" applyFont="1" applyFill="1" applyBorder="1"/>
    <xf numFmtId="0" fontId="17" fillId="2" borderId="13" xfId="0" applyFont="1" applyFill="1" applyBorder="1"/>
    <xf numFmtId="167" fontId="18" fillId="2" borderId="7" xfId="2" applyNumberFormat="1" applyFont="1" applyFill="1" applyBorder="1"/>
    <xf numFmtId="2" fontId="19" fillId="2" borderId="17" xfId="2" applyNumberFormat="1" applyFont="1" applyFill="1" applyBorder="1"/>
    <xf numFmtId="169" fontId="15" fillId="3" borderId="8" xfId="4" applyNumberFormat="1" applyFont="1" applyFill="1" applyBorder="1"/>
    <xf numFmtId="169" fontId="15" fillId="3" borderId="15" xfId="4" applyNumberFormat="1" applyFont="1" applyFill="1" applyBorder="1"/>
    <xf numFmtId="169" fontId="15" fillId="3" borderId="29" xfId="4" applyNumberFormat="1" applyFont="1" applyFill="1" applyBorder="1"/>
    <xf numFmtId="169" fontId="15" fillId="3" borderId="7" xfId="4" applyNumberFormat="1" applyFont="1" applyFill="1" applyBorder="1"/>
    <xf numFmtId="0" fontId="15" fillId="2" borderId="9" xfId="0" applyFont="1" applyFill="1" applyBorder="1"/>
    <xf numFmtId="0" fontId="16" fillId="2" borderId="1" xfId="0" applyFont="1" applyFill="1" applyBorder="1"/>
    <xf numFmtId="0" fontId="17" fillId="2" borderId="14" xfId="0" applyFont="1" applyFill="1" applyBorder="1"/>
    <xf numFmtId="167" fontId="18" fillId="2" borderId="1" xfId="2" applyNumberFormat="1" applyFont="1" applyFill="1" applyBorder="1"/>
    <xf numFmtId="0" fontId="15" fillId="2" borderId="1" xfId="0" applyFont="1" applyFill="1" applyBorder="1"/>
    <xf numFmtId="0" fontId="20" fillId="2" borderId="14" xfId="0" applyFont="1" applyFill="1" applyBorder="1"/>
    <xf numFmtId="167" fontId="21" fillId="2" borderId="1" xfId="2" applyNumberFormat="1" applyFont="1" applyFill="1" applyBorder="1"/>
    <xf numFmtId="0" fontId="15" fillId="2" borderId="1" xfId="0" applyFont="1" applyFill="1" applyBorder="1" applyAlignment="1">
      <alignment horizontal="left" vertical="center" wrapText="1"/>
    </xf>
    <xf numFmtId="0" fontId="22" fillId="2" borderId="14" xfId="0" applyFont="1" applyFill="1" applyBorder="1"/>
    <xf numFmtId="167" fontId="22" fillId="2" borderId="1" xfId="2" applyNumberFormat="1" applyFont="1" applyFill="1" applyBorder="1"/>
    <xf numFmtId="0" fontId="16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5" fillId="2" borderId="10" xfId="0" applyFont="1" applyFill="1" applyBorder="1"/>
    <xf numFmtId="0" fontId="16" fillId="2" borderId="19" xfId="0" applyFont="1" applyFill="1" applyBorder="1" applyAlignment="1">
      <alignment horizontal="left" vertical="center" wrapText="1"/>
    </xf>
    <xf numFmtId="169" fontId="15" fillId="3" borderId="21" xfId="4" applyNumberFormat="1" applyFont="1" applyFill="1" applyBorder="1"/>
    <xf numFmtId="169" fontId="15" fillId="3" borderId="16" xfId="4" applyNumberFormat="1" applyFont="1" applyFill="1" applyBorder="1"/>
    <xf numFmtId="169" fontId="15" fillId="3" borderId="18" xfId="4" applyNumberFormat="1" applyFont="1" applyFill="1" applyBorder="1"/>
    <xf numFmtId="0" fontId="16" fillId="0" borderId="0" xfId="0" applyFont="1"/>
    <xf numFmtId="0" fontId="13" fillId="2" borderId="8" xfId="0" applyFont="1" applyFill="1" applyBorder="1"/>
    <xf numFmtId="0" fontId="13" fillId="2" borderId="9" xfId="0" applyFont="1" applyFill="1" applyBorder="1"/>
    <xf numFmtId="0" fontId="13" fillId="2" borderId="10" xfId="0" applyFont="1" applyFill="1" applyBorder="1"/>
    <xf numFmtId="0" fontId="23" fillId="2" borderId="22" xfId="0" applyFont="1" applyFill="1" applyBorder="1" applyAlignment="1">
      <alignment horizontal="left" vertical="center" wrapText="1"/>
    </xf>
    <xf numFmtId="0" fontId="12" fillId="0" borderId="0" xfId="0" applyFont="1"/>
    <xf numFmtId="0" fontId="24" fillId="2" borderId="13" xfId="0" applyFont="1" applyFill="1" applyBorder="1"/>
    <xf numFmtId="167" fontId="25" fillId="2" borderId="7" xfId="2" applyNumberFormat="1" applyFont="1" applyFill="1" applyBorder="1"/>
    <xf numFmtId="2" fontId="26" fillId="2" borderId="17" xfId="2" applyNumberFormat="1" applyFont="1" applyFill="1" applyBorder="1"/>
    <xf numFmtId="169" fontId="13" fillId="3" borderId="8" xfId="4" applyNumberFormat="1" applyFont="1" applyFill="1" applyBorder="1"/>
    <xf numFmtId="169" fontId="13" fillId="3" borderId="15" xfId="4" applyNumberFormat="1" applyFont="1" applyFill="1" applyBorder="1"/>
    <xf numFmtId="169" fontId="13" fillId="3" borderId="29" xfId="4" applyNumberFormat="1" applyFont="1" applyFill="1" applyBorder="1"/>
    <xf numFmtId="169" fontId="13" fillId="3" borderId="7" xfId="4" applyNumberFormat="1" applyFont="1" applyFill="1" applyBorder="1"/>
    <xf numFmtId="0" fontId="24" fillId="2" borderId="14" xfId="0" applyFont="1" applyFill="1" applyBorder="1"/>
    <xf numFmtId="167" fontId="25" fillId="2" borderId="1" xfId="2" applyNumberFormat="1" applyFont="1" applyFill="1" applyBorder="1"/>
    <xf numFmtId="0" fontId="27" fillId="2" borderId="14" xfId="0" applyFont="1" applyFill="1" applyBorder="1"/>
    <xf numFmtId="167" fontId="28" fillId="2" borderId="1" xfId="2" applyNumberFormat="1" applyFont="1" applyFill="1" applyBorder="1"/>
    <xf numFmtId="0" fontId="29" fillId="2" borderId="14" xfId="0" applyFont="1" applyFill="1" applyBorder="1"/>
    <xf numFmtId="167" fontId="29" fillId="2" borderId="1" xfId="2" applyNumberFormat="1" applyFont="1" applyFill="1" applyBorder="1"/>
    <xf numFmtId="0" fontId="30" fillId="2" borderId="14" xfId="0" applyFont="1" applyFill="1" applyBorder="1"/>
    <xf numFmtId="167" fontId="30" fillId="2" borderId="1" xfId="2" applyNumberFormat="1" applyFont="1" applyFill="1" applyBorder="1"/>
    <xf numFmtId="0" fontId="31" fillId="2" borderId="14" xfId="0" applyFont="1" applyFill="1" applyBorder="1"/>
    <xf numFmtId="167" fontId="31" fillId="2" borderId="1" xfId="2" applyNumberFormat="1" applyFont="1" applyFill="1" applyBorder="1"/>
    <xf numFmtId="169" fontId="13" fillId="3" borderId="16" xfId="4" applyNumberFormat="1" applyFont="1" applyFill="1" applyBorder="1"/>
    <xf numFmtId="169" fontId="13" fillId="3" borderId="18" xfId="4" applyNumberFormat="1" applyFont="1" applyFill="1" applyBorder="1"/>
    <xf numFmtId="0" fontId="11" fillId="0" borderId="0" xfId="0" applyFont="1"/>
    <xf numFmtId="0" fontId="23" fillId="0" borderId="23" xfId="0" applyFont="1" applyBorder="1"/>
    <xf numFmtId="0" fontId="23" fillId="0" borderId="27" xfId="0" applyFont="1" applyBorder="1"/>
    <xf numFmtId="0" fontId="23" fillId="0" borderId="0" xfId="0" applyFont="1"/>
    <xf numFmtId="0" fontId="7" fillId="2" borderId="0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4" fillId="3" borderId="6" xfId="0" applyFont="1" applyFill="1" applyBorder="1" applyAlignment="1">
      <alignment horizontal="center" vertical="center" wrapText="1"/>
    </xf>
    <xf numFmtId="0" fontId="34" fillId="3" borderId="4" xfId="0" applyFont="1" applyFill="1" applyBorder="1" applyAlignment="1">
      <alignment horizontal="center" vertical="center" wrapText="1"/>
    </xf>
    <xf numFmtId="0" fontId="34" fillId="3" borderId="2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34" fillId="5" borderId="6" xfId="0" applyFont="1" applyFill="1" applyBorder="1" applyAlignment="1">
      <alignment horizontal="center" vertical="center" wrapText="1"/>
    </xf>
    <xf numFmtId="0" fontId="34" fillId="5" borderId="4" xfId="0" applyFont="1" applyFill="1" applyBorder="1" applyAlignment="1">
      <alignment horizontal="center" vertical="center" wrapText="1"/>
    </xf>
    <xf numFmtId="0" fontId="34" fillId="5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2" xfId="0" applyFont="1" applyFill="1" applyBorder="1" applyAlignment="1">
      <alignment horizontal="center" vertical="center" wrapText="1"/>
    </xf>
    <xf numFmtId="169" fontId="11" fillId="3" borderId="7" xfId="4" applyNumberFormat="1" applyFont="1" applyFill="1" applyBorder="1"/>
    <xf numFmtId="169" fontId="11" fillId="3" borderId="13" xfId="4" applyNumberFormat="1" applyFont="1" applyFill="1" applyBorder="1"/>
    <xf numFmtId="169" fontId="11" fillId="5" borderId="8" xfId="4" applyNumberFormat="1" applyFont="1" applyFill="1" applyBorder="1"/>
    <xf numFmtId="169" fontId="11" fillId="5" borderId="15" xfId="4" applyNumberFormat="1" applyFont="1" applyFill="1" applyBorder="1"/>
    <xf numFmtId="169" fontId="11" fillId="5" borderId="29" xfId="4" applyNumberFormat="1" applyFont="1" applyFill="1" applyBorder="1"/>
    <xf numFmtId="169" fontId="11" fillId="5" borderId="13" xfId="4" applyNumberFormat="1" applyFont="1" applyFill="1" applyBorder="1"/>
    <xf numFmtId="169" fontId="11" fillId="4" borderId="8" xfId="4" applyNumberFormat="1" applyFont="1" applyFill="1" applyBorder="1"/>
    <xf numFmtId="169" fontId="11" fillId="4" borderId="15" xfId="4" applyNumberFormat="1" applyFont="1" applyFill="1" applyBorder="1"/>
    <xf numFmtId="169" fontId="11" fillId="4" borderId="29" xfId="4" applyNumberFormat="1" applyFont="1" applyFill="1" applyBorder="1"/>
    <xf numFmtId="169" fontId="11" fillId="4" borderId="7" xfId="4" applyNumberFormat="1" applyFont="1" applyFill="1" applyBorder="1"/>
    <xf numFmtId="169" fontId="11" fillId="4" borderId="12" xfId="4" applyNumberFormat="1" applyFont="1" applyFill="1" applyBorder="1"/>
    <xf numFmtId="169" fontId="11" fillId="4" borderId="13" xfId="4" applyNumberFormat="1" applyFont="1" applyFill="1" applyBorder="1"/>
    <xf numFmtId="169" fontId="11" fillId="4" borderId="1" xfId="4" applyNumberFormat="1" applyFont="1" applyFill="1" applyBorder="1"/>
    <xf numFmtId="169" fontId="11" fillId="4" borderId="25" xfId="4" applyNumberFormat="1" applyFont="1" applyFill="1" applyBorder="1"/>
    <xf numFmtId="169" fontId="11" fillId="3" borderId="18" xfId="4" applyNumberFormat="1" applyFont="1" applyFill="1" applyBorder="1"/>
    <xf numFmtId="169" fontId="11" fillId="3" borderId="26" xfId="4" applyNumberFormat="1" applyFont="1" applyFill="1" applyBorder="1"/>
    <xf numFmtId="169" fontId="11" fillId="5" borderId="16" xfId="4" applyNumberFormat="1" applyFont="1" applyFill="1" applyBorder="1"/>
    <xf numFmtId="169" fontId="11" fillId="5" borderId="26" xfId="4" applyNumberFormat="1" applyFont="1" applyFill="1" applyBorder="1"/>
    <xf numFmtId="0" fontId="11" fillId="0" borderId="22" xfId="0" applyFont="1" applyBorder="1"/>
    <xf numFmtId="169" fontId="11" fillId="3" borderId="24" xfId="0" applyNumberFormat="1" applyFont="1" applyFill="1" applyBorder="1"/>
    <xf numFmtId="0" fontId="11" fillId="0" borderId="28" xfId="0" applyFont="1" applyBorder="1"/>
    <xf numFmtId="0" fontId="11" fillId="0" borderId="23" xfId="0" applyFont="1" applyBorder="1"/>
    <xf numFmtId="0" fontId="11" fillId="0" borderId="27" xfId="0" applyFont="1" applyBorder="1"/>
    <xf numFmtId="169" fontId="11" fillId="5" borderId="24" xfId="0" applyNumberFormat="1" applyFont="1" applyFill="1" applyBorder="1"/>
    <xf numFmtId="169" fontId="11" fillId="4" borderId="24" xfId="0" applyNumberFormat="1" applyFont="1" applyFill="1" applyBorder="1"/>
    <xf numFmtId="169" fontId="11" fillId="4" borderId="27" xfId="0" applyNumberFormat="1" applyFont="1" applyFill="1" applyBorder="1"/>
    <xf numFmtId="0" fontId="11" fillId="0" borderId="9" xfId="0" applyFont="1" applyBorder="1"/>
    <xf numFmtId="169" fontId="11" fillId="4" borderId="25" xfId="0" applyNumberFormat="1" applyFont="1" applyFill="1" applyBorder="1"/>
    <xf numFmtId="169" fontId="16" fillId="3" borderId="7" xfId="4" applyNumberFormat="1" applyFont="1" applyFill="1" applyBorder="1"/>
    <xf numFmtId="169" fontId="16" fillId="3" borderId="13" xfId="4" applyNumberFormat="1" applyFont="1" applyFill="1" applyBorder="1"/>
    <xf numFmtId="169" fontId="16" fillId="5" borderId="8" xfId="4" applyNumberFormat="1" applyFont="1" applyFill="1" applyBorder="1"/>
    <xf numFmtId="169" fontId="16" fillId="5" borderId="15" xfId="4" applyNumberFormat="1" applyFont="1" applyFill="1" applyBorder="1"/>
    <xf numFmtId="169" fontId="16" fillId="5" borderId="29" xfId="4" applyNumberFormat="1" applyFont="1" applyFill="1" applyBorder="1"/>
    <xf numFmtId="169" fontId="16" fillId="5" borderId="13" xfId="4" applyNumberFormat="1" applyFont="1" applyFill="1" applyBorder="1"/>
    <xf numFmtId="169" fontId="16" fillId="4" borderId="8" xfId="4" applyNumberFormat="1" applyFont="1" applyFill="1" applyBorder="1"/>
    <xf numFmtId="169" fontId="16" fillId="4" borderId="15" xfId="4" applyNumberFormat="1" applyFont="1" applyFill="1" applyBorder="1"/>
    <xf numFmtId="169" fontId="16" fillId="4" borderId="29" xfId="4" applyNumberFormat="1" applyFont="1" applyFill="1" applyBorder="1"/>
    <xf numFmtId="169" fontId="16" fillId="4" borderId="7" xfId="4" applyNumberFormat="1" applyFont="1" applyFill="1" applyBorder="1"/>
    <xf numFmtId="169" fontId="16" fillId="4" borderId="12" xfId="4" applyNumberFormat="1" applyFont="1" applyFill="1" applyBorder="1"/>
    <xf numFmtId="169" fontId="16" fillId="4" borderId="13" xfId="4" applyNumberFormat="1" applyFont="1" applyFill="1" applyBorder="1"/>
    <xf numFmtId="169" fontId="16" fillId="4" borderId="9" xfId="4" applyNumberFormat="1" applyFont="1" applyFill="1" applyBorder="1"/>
    <xf numFmtId="169" fontId="16" fillId="4" borderId="1" xfId="4" applyNumberFormat="1" applyFont="1" applyFill="1" applyBorder="1"/>
    <xf numFmtId="169" fontId="16" fillId="4" borderId="25" xfId="4" applyNumberFormat="1" applyFont="1" applyFill="1" applyBorder="1"/>
    <xf numFmtId="169" fontId="16" fillId="3" borderId="18" xfId="4" applyNumberFormat="1" applyFont="1" applyFill="1" applyBorder="1"/>
    <xf numFmtId="169" fontId="16" fillId="3" borderId="26" xfId="4" applyNumberFormat="1" applyFont="1" applyFill="1" applyBorder="1"/>
    <xf numFmtId="169" fontId="16" fillId="5" borderId="16" xfId="4" applyNumberFormat="1" applyFont="1" applyFill="1" applyBorder="1"/>
    <xf numFmtId="169" fontId="16" fillId="5" borderId="26" xfId="4" applyNumberFormat="1" applyFont="1" applyFill="1" applyBorder="1"/>
    <xf numFmtId="169" fontId="16" fillId="4" borderId="21" xfId="4" applyNumberFormat="1" applyFont="1" applyFill="1" applyBorder="1"/>
    <xf numFmtId="0" fontId="16" fillId="0" borderId="22" xfId="0" applyFont="1" applyBorder="1"/>
    <xf numFmtId="169" fontId="16" fillId="3" borderId="24" xfId="0" applyNumberFormat="1" applyFont="1" applyFill="1" applyBorder="1"/>
    <xf numFmtId="0" fontId="16" fillId="0" borderId="28" xfId="0" applyFont="1" applyBorder="1"/>
    <xf numFmtId="0" fontId="16" fillId="0" borderId="23" xfId="0" applyFont="1" applyBorder="1"/>
    <xf numFmtId="0" fontId="16" fillId="0" borderId="27" xfId="0" applyFont="1" applyBorder="1"/>
    <xf numFmtId="169" fontId="16" fillId="5" borderId="24" xfId="0" applyNumberFormat="1" applyFont="1" applyFill="1" applyBorder="1"/>
    <xf numFmtId="169" fontId="16" fillId="4" borderId="24" xfId="0" applyNumberFormat="1" applyFont="1" applyFill="1" applyBorder="1"/>
    <xf numFmtId="169" fontId="16" fillId="4" borderId="27" xfId="0" applyNumberFormat="1" applyFont="1" applyFill="1" applyBorder="1"/>
    <xf numFmtId="0" fontId="16" fillId="0" borderId="9" xfId="0" applyFont="1" applyBorder="1"/>
    <xf numFmtId="169" fontId="16" fillId="4" borderId="25" xfId="0" applyNumberFormat="1" applyFont="1" applyFill="1" applyBorder="1"/>
    <xf numFmtId="0" fontId="37" fillId="3" borderId="6" xfId="0" applyFont="1" applyFill="1" applyBorder="1" applyAlignment="1">
      <alignment horizontal="center" vertical="center" wrapText="1"/>
    </xf>
    <xf numFmtId="0" fontId="6" fillId="0" borderId="0" xfId="0" applyFont="1"/>
    <xf numFmtId="0" fontId="35" fillId="0" borderId="0" xfId="0" applyFont="1"/>
    <xf numFmtId="0" fontId="38" fillId="2" borderId="14" xfId="0" applyFont="1" applyFill="1" applyBorder="1"/>
    <xf numFmtId="167" fontId="38" fillId="2" borderId="1" xfId="2" applyNumberFormat="1" applyFont="1" applyFill="1" applyBorder="1"/>
    <xf numFmtId="0" fontId="39" fillId="2" borderId="14" xfId="0" applyFont="1" applyFill="1" applyBorder="1"/>
    <xf numFmtId="167" fontId="39" fillId="2" borderId="1" xfId="2" applyNumberFormat="1" applyFont="1" applyFill="1" applyBorder="1"/>
    <xf numFmtId="0" fontId="40" fillId="2" borderId="14" xfId="0" applyFont="1" applyFill="1" applyBorder="1"/>
    <xf numFmtId="167" fontId="40" fillId="2" borderId="1" xfId="2" applyNumberFormat="1" applyFont="1" applyFill="1" applyBorder="1"/>
    <xf numFmtId="0" fontId="41" fillId="2" borderId="14" xfId="0" applyFont="1" applyFill="1" applyBorder="1"/>
    <xf numFmtId="167" fontId="41" fillId="2" borderId="1" xfId="2" applyNumberFormat="1" applyFont="1" applyFill="1" applyBorder="1"/>
    <xf numFmtId="0" fontId="42" fillId="2" borderId="14" xfId="0" applyFont="1" applyFill="1" applyBorder="1"/>
    <xf numFmtId="167" fontId="42" fillId="2" borderId="1" xfId="2" applyNumberFormat="1" applyFont="1" applyFill="1" applyBorder="1" applyAlignment="1">
      <alignment horizontal="center" vertical="center"/>
    </xf>
    <xf numFmtId="0" fontId="42" fillId="2" borderId="20" xfId="0" applyFont="1" applyFill="1" applyBorder="1"/>
    <xf numFmtId="167" fontId="42" fillId="2" borderId="19" xfId="2" applyNumberFormat="1" applyFont="1" applyFill="1" applyBorder="1" applyAlignment="1">
      <alignment horizontal="center" vertical="center"/>
    </xf>
    <xf numFmtId="0" fontId="43" fillId="2" borderId="14" xfId="0" applyFont="1" applyFill="1" applyBorder="1"/>
    <xf numFmtId="167" fontId="43" fillId="2" borderId="1" xfId="2" applyNumberFormat="1" applyFont="1" applyFill="1" applyBorder="1"/>
    <xf numFmtId="0" fontId="44" fillId="2" borderId="14" xfId="0" applyFont="1" applyFill="1" applyBorder="1"/>
    <xf numFmtId="167" fontId="44" fillId="2" borderId="1" xfId="2" applyNumberFormat="1" applyFont="1" applyFill="1" applyBorder="1"/>
    <xf numFmtId="0" fontId="45" fillId="2" borderId="14" xfId="0" applyFont="1" applyFill="1" applyBorder="1"/>
    <xf numFmtId="167" fontId="45" fillId="2" borderId="1" xfId="2" applyNumberFormat="1" applyFont="1" applyFill="1" applyBorder="1"/>
    <xf numFmtId="0" fontId="46" fillId="2" borderId="14" xfId="0" applyFont="1" applyFill="1" applyBorder="1"/>
    <xf numFmtId="167" fontId="46" fillId="2" borderId="1" xfId="2" applyNumberFormat="1" applyFont="1" applyFill="1" applyBorder="1" applyAlignment="1">
      <alignment horizontal="center" vertical="center"/>
    </xf>
    <xf numFmtId="0" fontId="46" fillId="2" borderId="20" xfId="0" applyFont="1" applyFill="1" applyBorder="1"/>
    <xf numFmtId="167" fontId="46" fillId="2" borderId="19" xfId="2" applyNumberFormat="1" applyFont="1" applyFill="1" applyBorder="1" applyAlignment="1">
      <alignment horizontal="center" vertical="center"/>
    </xf>
    <xf numFmtId="0" fontId="23" fillId="0" borderId="35" xfId="0" applyFont="1" applyBorder="1"/>
    <xf numFmtId="0" fontId="23" fillId="0" borderId="19" xfId="0" applyFont="1" applyBorder="1"/>
    <xf numFmtId="0" fontId="23" fillId="0" borderId="20" xfId="0" applyFont="1" applyBorder="1"/>
    <xf numFmtId="0" fontId="11" fillId="0" borderId="35" xfId="0" applyFont="1" applyBorder="1"/>
    <xf numFmtId="0" fontId="11" fillId="0" borderId="19" xfId="0" applyFont="1" applyBorder="1"/>
    <xf numFmtId="0" fontId="11" fillId="0" borderId="37" xfId="0" applyFont="1" applyBorder="1"/>
    <xf numFmtId="0" fontId="11" fillId="0" borderId="20" xfId="0" applyFont="1" applyBorder="1"/>
    <xf numFmtId="0" fontId="23" fillId="0" borderId="0" xfId="0" applyFont="1" applyBorder="1"/>
    <xf numFmtId="0" fontId="11" fillId="0" borderId="0" xfId="0" applyFont="1" applyBorder="1"/>
    <xf numFmtId="169" fontId="11" fillId="0" borderId="19" xfId="0" applyNumberFormat="1" applyFont="1" applyBorder="1"/>
    <xf numFmtId="169" fontId="11" fillId="0" borderId="37" xfId="0" applyNumberFormat="1" applyFont="1" applyBorder="1"/>
    <xf numFmtId="169" fontId="11" fillId="0" borderId="20" xfId="0" applyNumberFormat="1" applyFont="1" applyBorder="1"/>
    <xf numFmtId="169" fontId="11" fillId="0" borderId="35" xfId="0" applyNumberFormat="1" applyFont="1" applyBorder="1"/>
    <xf numFmtId="0" fontId="23" fillId="0" borderId="38" xfId="0" applyFont="1" applyBorder="1"/>
    <xf numFmtId="0" fontId="23" fillId="0" borderId="39" xfId="0" applyFont="1" applyBorder="1"/>
    <xf numFmtId="0" fontId="23" fillId="0" borderId="40" xfId="0" applyFont="1" applyBorder="1"/>
    <xf numFmtId="0" fontId="11" fillId="0" borderId="38" xfId="0" applyFont="1" applyBorder="1"/>
    <xf numFmtId="0" fontId="11" fillId="0" borderId="39" xfId="0" applyFont="1" applyBorder="1"/>
    <xf numFmtId="0" fontId="11" fillId="0" borderId="42" xfId="0" applyFont="1" applyBorder="1"/>
    <xf numFmtId="0" fontId="11" fillId="0" borderId="40" xfId="0" applyFont="1" applyBorder="1"/>
    <xf numFmtId="169" fontId="0" fillId="0" borderId="0" xfId="0" applyNumberFormat="1"/>
    <xf numFmtId="169" fontId="0" fillId="0" borderId="1" xfId="0" applyNumberFormat="1" applyBorder="1"/>
    <xf numFmtId="169" fontId="11" fillId="2" borderId="36" xfId="0" applyNumberFormat="1" applyFont="1" applyFill="1" applyBorder="1"/>
    <xf numFmtId="169" fontId="11" fillId="2" borderId="41" xfId="0" applyNumberFormat="1" applyFont="1" applyFill="1" applyBorder="1"/>
    <xf numFmtId="169" fontId="11" fillId="4" borderId="23" xfId="0" applyNumberFormat="1" applyFont="1" applyFill="1" applyBorder="1"/>
    <xf numFmtId="169" fontId="11" fillId="4" borderId="19" xfId="4" applyNumberFormat="1" applyFont="1" applyFill="1" applyBorder="1"/>
    <xf numFmtId="169" fontId="11" fillId="4" borderId="39" xfId="0" applyNumberFormat="1" applyFont="1" applyFill="1" applyBorder="1"/>
    <xf numFmtId="169" fontId="11" fillId="5" borderId="23" xfId="0" applyNumberFormat="1" applyFont="1" applyFill="1" applyBorder="1"/>
    <xf numFmtId="169" fontId="11" fillId="5" borderId="19" xfId="4" applyNumberFormat="1" applyFont="1" applyFill="1" applyBorder="1"/>
    <xf numFmtId="169" fontId="11" fillId="5" borderId="39" xfId="0" applyNumberFormat="1" applyFont="1" applyFill="1" applyBorder="1"/>
    <xf numFmtId="169" fontId="11" fillId="3" borderId="23" xfId="0" applyNumberFormat="1" applyFont="1" applyFill="1" applyBorder="1"/>
    <xf numFmtId="169" fontId="11" fillId="3" borderId="19" xfId="4" applyNumberFormat="1" applyFont="1" applyFill="1" applyBorder="1"/>
    <xf numFmtId="169" fontId="11" fillId="3" borderId="39" xfId="0" applyNumberFormat="1" applyFont="1" applyFill="1" applyBorder="1"/>
    <xf numFmtId="169" fontId="11" fillId="2" borderId="35" xfId="0" applyNumberFormat="1" applyFont="1" applyFill="1" applyBorder="1"/>
    <xf numFmtId="169" fontId="11" fillId="2" borderId="20" xfId="0" applyNumberFormat="1" applyFont="1" applyFill="1" applyBorder="1"/>
    <xf numFmtId="0" fontId="11" fillId="2" borderId="38" xfId="0" applyFont="1" applyFill="1" applyBorder="1"/>
    <xf numFmtId="169" fontId="11" fillId="2" borderId="40" xfId="0" applyNumberFormat="1" applyFont="1" applyFill="1" applyBorder="1"/>
    <xf numFmtId="0" fontId="47" fillId="0" borderId="22" xfId="0" applyFont="1" applyBorder="1"/>
    <xf numFmtId="169" fontId="47" fillId="3" borderId="23" xfId="0" applyNumberFormat="1" applyFont="1" applyFill="1" applyBorder="1"/>
    <xf numFmtId="169" fontId="47" fillId="3" borderId="24" xfId="0" applyNumberFormat="1" applyFont="1" applyFill="1" applyBorder="1"/>
    <xf numFmtId="0" fontId="47" fillId="0" borderId="28" xfId="0" applyFont="1" applyBorder="1"/>
    <xf numFmtId="0" fontId="47" fillId="0" borderId="23" xfId="0" applyFont="1" applyBorder="1"/>
    <xf numFmtId="0" fontId="47" fillId="0" borderId="27" xfId="0" applyFont="1" applyBorder="1"/>
    <xf numFmtId="169" fontId="47" fillId="5" borderId="23" xfId="0" applyNumberFormat="1" applyFont="1" applyFill="1" applyBorder="1"/>
    <xf numFmtId="169" fontId="47" fillId="5" borderId="24" xfId="0" applyNumberFormat="1" applyFont="1" applyFill="1" applyBorder="1"/>
    <xf numFmtId="169" fontId="47" fillId="4" borderId="23" xfId="0" applyNumberFormat="1" applyFont="1" applyFill="1" applyBorder="1"/>
    <xf numFmtId="169" fontId="47" fillId="4" borderId="24" xfId="0" applyNumberFormat="1" applyFont="1" applyFill="1" applyBorder="1"/>
    <xf numFmtId="169" fontId="47" fillId="4" borderId="27" xfId="0" applyNumberFormat="1" applyFont="1" applyFill="1" applyBorder="1"/>
    <xf numFmtId="0" fontId="47" fillId="0" borderId="9" xfId="0" applyFont="1" applyBorder="1"/>
    <xf numFmtId="169" fontId="47" fillId="4" borderId="25" xfId="0" applyNumberFormat="1" applyFont="1" applyFill="1" applyBorder="1"/>
    <xf numFmtId="0" fontId="47" fillId="0" borderId="35" xfId="0" applyFont="1" applyBorder="1"/>
    <xf numFmtId="169" fontId="47" fillId="3" borderId="19" xfId="4" applyNumberFormat="1" applyFont="1" applyFill="1" applyBorder="1"/>
    <xf numFmtId="169" fontId="47" fillId="2" borderId="36" xfId="0" applyNumberFormat="1" applyFont="1" applyFill="1" applyBorder="1"/>
    <xf numFmtId="0" fontId="47" fillId="0" borderId="37" xfId="0" applyFont="1" applyBorder="1"/>
    <xf numFmtId="0" fontId="47" fillId="0" borderId="19" xfId="0" applyFont="1" applyBorder="1"/>
    <xf numFmtId="169" fontId="47" fillId="0" borderId="19" xfId="0" applyNumberFormat="1" applyFont="1" applyBorder="1"/>
    <xf numFmtId="0" fontId="47" fillId="0" borderId="20" xfId="0" applyFont="1" applyBorder="1"/>
    <xf numFmtId="169" fontId="47" fillId="5" borderId="19" xfId="4" applyNumberFormat="1" applyFont="1" applyFill="1" applyBorder="1"/>
    <xf numFmtId="169" fontId="47" fillId="0" borderId="37" xfId="0" applyNumberFormat="1" applyFont="1" applyBorder="1"/>
    <xf numFmtId="169" fontId="47" fillId="0" borderId="20" xfId="0" applyNumberFormat="1" applyFont="1" applyBorder="1"/>
    <xf numFmtId="169" fontId="47" fillId="0" borderId="35" xfId="0" applyNumberFormat="1" applyFont="1" applyBorder="1"/>
    <xf numFmtId="169" fontId="47" fillId="4" borderId="19" xfId="4" applyNumberFormat="1" applyFont="1" applyFill="1" applyBorder="1"/>
    <xf numFmtId="169" fontId="47" fillId="2" borderId="35" xfId="0" applyNumberFormat="1" applyFont="1" applyFill="1" applyBorder="1"/>
    <xf numFmtId="169" fontId="47" fillId="2" borderId="20" xfId="0" applyNumberFormat="1" applyFont="1" applyFill="1" applyBorder="1"/>
    <xf numFmtId="0" fontId="47" fillId="0" borderId="38" xfId="0" applyFont="1" applyBorder="1"/>
    <xf numFmtId="169" fontId="47" fillId="3" borderId="39" xfId="0" applyNumberFormat="1" applyFont="1" applyFill="1" applyBorder="1"/>
    <xf numFmtId="169" fontId="47" fillId="2" borderId="41" xfId="0" applyNumberFormat="1" applyFont="1" applyFill="1" applyBorder="1"/>
    <xf numFmtId="0" fontId="47" fillId="0" borderId="42" xfId="0" applyFont="1" applyBorder="1"/>
    <xf numFmtId="0" fontId="47" fillId="0" borderId="39" xfId="0" applyFont="1" applyBorder="1"/>
    <xf numFmtId="0" fontId="47" fillId="0" borderId="40" xfId="0" applyFont="1" applyBorder="1"/>
    <xf numFmtId="169" fontId="47" fillId="5" borderId="39" xfId="0" applyNumberFormat="1" applyFont="1" applyFill="1" applyBorder="1"/>
    <xf numFmtId="169" fontId="47" fillId="4" borderId="39" xfId="0" applyNumberFormat="1" applyFont="1" applyFill="1" applyBorder="1"/>
    <xf numFmtId="0" fontId="47" fillId="2" borderId="38" xfId="0" applyFont="1" applyFill="1" applyBorder="1"/>
    <xf numFmtId="169" fontId="47" fillId="2" borderId="40" xfId="0" applyNumberFormat="1" applyFont="1" applyFill="1" applyBorder="1"/>
    <xf numFmtId="169" fontId="16" fillId="3" borderId="23" xfId="0" applyNumberFormat="1" applyFont="1" applyFill="1" applyBorder="1"/>
    <xf numFmtId="169" fontId="16" fillId="4" borderId="23" xfId="0" applyNumberFormat="1" applyFont="1" applyFill="1" applyBorder="1"/>
    <xf numFmtId="0" fontId="16" fillId="0" borderId="35" xfId="0" applyFont="1" applyBorder="1"/>
    <xf numFmtId="169" fontId="16" fillId="3" borderId="19" xfId="4" applyNumberFormat="1" applyFont="1" applyFill="1" applyBorder="1"/>
    <xf numFmtId="169" fontId="16" fillId="2" borderId="36" xfId="0" applyNumberFormat="1" applyFont="1" applyFill="1" applyBorder="1"/>
    <xf numFmtId="0" fontId="16" fillId="0" borderId="37" xfId="0" applyFont="1" applyBorder="1"/>
    <xf numFmtId="0" fontId="16" fillId="0" borderId="19" xfId="0" applyFont="1" applyBorder="1"/>
    <xf numFmtId="169" fontId="16" fillId="0" borderId="19" xfId="0" applyNumberFormat="1" applyFont="1" applyBorder="1"/>
    <xf numFmtId="0" fontId="16" fillId="0" borderId="20" xfId="0" applyFont="1" applyBorder="1"/>
    <xf numFmtId="169" fontId="16" fillId="5" borderId="19" xfId="4" applyNumberFormat="1" applyFont="1" applyFill="1" applyBorder="1"/>
    <xf numFmtId="169" fontId="16" fillId="0" borderId="37" xfId="0" applyNumberFormat="1" applyFont="1" applyBorder="1"/>
    <xf numFmtId="169" fontId="16" fillId="0" borderId="20" xfId="0" applyNumberFormat="1" applyFont="1" applyBorder="1"/>
    <xf numFmtId="169" fontId="16" fillId="0" borderId="35" xfId="0" applyNumberFormat="1" applyFont="1" applyBorder="1"/>
    <xf numFmtId="169" fontId="16" fillId="4" borderId="19" xfId="4" applyNumberFormat="1" applyFont="1" applyFill="1" applyBorder="1"/>
    <xf numFmtId="169" fontId="16" fillId="2" borderId="35" xfId="0" applyNumberFormat="1" applyFont="1" applyFill="1" applyBorder="1"/>
    <xf numFmtId="169" fontId="16" fillId="2" borderId="20" xfId="0" applyNumberFormat="1" applyFont="1" applyFill="1" applyBorder="1"/>
    <xf numFmtId="0" fontId="16" fillId="0" borderId="38" xfId="0" applyFont="1" applyBorder="1"/>
    <xf numFmtId="169" fontId="16" fillId="3" borderId="39" xfId="0" applyNumberFormat="1" applyFont="1" applyFill="1" applyBorder="1"/>
    <xf numFmtId="169" fontId="16" fillId="2" borderId="41" xfId="0" applyNumberFormat="1" applyFont="1" applyFill="1" applyBorder="1"/>
    <xf numFmtId="0" fontId="16" fillId="0" borderId="42" xfId="0" applyFont="1" applyBorder="1"/>
    <xf numFmtId="0" fontId="16" fillId="0" borderId="39" xfId="0" applyFont="1" applyBorder="1"/>
    <xf numFmtId="0" fontId="16" fillId="0" borderId="40" xfId="0" applyFont="1" applyBorder="1"/>
    <xf numFmtId="169" fontId="16" fillId="5" borderId="39" xfId="0" applyNumberFormat="1" applyFont="1" applyFill="1" applyBorder="1"/>
    <xf numFmtId="169" fontId="16" fillId="4" borderId="39" xfId="0" applyNumberFormat="1" applyFont="1" applyFill="1" applyBorder="1"/>
    <xf numFmtId="0" fontId="16" fillId="2" borderId="38" xfId="0" applyFont="1" applyFill="1" applyBorder="1"/>
    <xf numFmtId="169" fontId="16" fillId="2" borderId="40" xfId="0" applyNumberFormat="1" applyFont="1" applyFill="1" applyBorder="1"/>
    <xf numFmtId="0" fontId="16" fillId="2" borderId="22" xfId="0" applyFont="1" applyFill="1" applyBorder="1" applyAlignment="1">
      <alignment horizontal="left" vertical="center" wrapText="1"/>
    </xf>
    <xf numFmtId="0" fontId="48" fillId="0" borderId="0" xfId="0" applyFont="1" applyBorder="1"/>
    <xf numFmtId="0" fontId="48" fillId="0" borderId="0" xfId="0" applyFont="1"/>
    <xf numFmtId="169" fontId="48" fillId="0" borderId="0" xfId="0" applyNumberFormat="1" applyFont="1"/>
    <xf numFmtId="0" fontId="47" fillId="2" borderId="22" xfId="0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6" fillId="0" borderId="0" xfId="0" applyFont="1" applyBorder="1"/>
    <xf numFmtId="169" fontId="16" fillId="3" borderId="0" xfId="0" applyNumberFormat="1" applyFont="1" applyFill="1" applyBorder="1"/>
    <xf numFmtId="169" fontId="16" fillId="2" borderId="0" xfId="0" applyNumberFormat="1" applyFont="1" applyFill="1" applyBorder="1"/>
    <xf numFmtId="169" fontId="16" fillId="5" borderId="0" xfId="0" applyNumberFormat="1" applyFont="1" applyFill="1" applyBorder="1"/>
    <xf numFmtId="0" fontId="16" fillId="2" borderId="0" xfId="0" applyFont="1" applyFill="1" applyBorder="1"/>
    <xf numFmtId="10" fontId="16" fillId="4" borderId="0" xfId="1" applyNumberFormat="1" applyFont="1" applyFill="1" applyBorder="1"/>
    <xf numFmtId="10" fontId="0" fillId="0" borderId="0" xfId="1" applyNumberFormat="1" applyFont="1"/>
    <xf numFmtId="169" fontId="2" fillId="0" borderId="0" xfId="0" applyNumberFormat="1" applyFont="1"/>
    <xf numFmtId="169" fontId="0" fillId="0" borderId="0" xfId="4" applyNumberFormat="1" applyFont="1"/>
    <xf numFmtId="0" fontId="9" fillId="2" borderId="38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7" borderId="1" xfId="0" applyFill="1" applyBorder="1"/>
    <xf numFmtId="0" fontId="0" fillId="6" borderId="1" xfId="0" applyFill="1" applyBorder="1"/>
    <xf numFmtId="0" fontId="30" fillId="3" borderId="14" xfId="0" applyFont="1" applyFill="1" applyBorder="1"/>
    <xf numFmtId="0" fontId="31" fillId="10" borderId="14" xfId="0" applyFont="1" applyFill="1" applyBorder="1"/>
    <xf numFmtId="0" fontId="13" fillId="8" borderId="8" xfId="0" applyFont="1" applyFill="1" applyBorder="1"/>
    <xf numFmtId="0" fontId="11" fillId="8" borderId="7" xfId="0" applyFont="1" applyFill="1" applyBorder="1"/>
    <xf numFmtId="0" fontId="24" fillId="8" borderId="13" xfId="0" applyFont="1" applyFill="1" applyBorder="1"/>
    <xf numFmtId="167" fontId="25" fillId="8" borderId="7" xfId="2" applyNumberFormat="1" applyFont="1" applyFill="1" applyBorder="1"/>
    <xf numFmtId="2" fontId="26" fillId="8" borderId="17" xfId="2" applyNumberFormat="1" applyFont="1" applyFill="1" applyBorder="1"/>
    <xf numFmtId="0" fontId="13" fillId="8" borderId="9" xfId="0" applyFont="1" applyFill="1" applyBorder="1"/>
    <xf numFmtId="0" fontId="11" fillId="8" borderId="1" xfId="0" applyFont="1" applyFill="1" applyBorder="1"/>
    <xf numFmtId="0" fontId="24" fillId="8" borderId="14" xfId="0" applyFont="1" applyFill="1" applyBorder="1"/>
    <xf numFmtId="167" fontId="25" fillId="8" borderId="1" xfId="2" applyNumberFormat="1" applyFont="1" applyFill="1" applyBorder="1"/>
    <xf numFmtId="0" fontId="13" fillId="12" borderId="9" xfId="0" applyFont="1" applyFill="1" applyBorder="1"/>
    <xf numFmtId="0" fontId="13" fillId="12" borderId="1" xfId="0" applyFont="1" applyFill="1" applyBorder="1"/>
    <xf numFmtId="0" fontId="27" fillId="12" borderId="14" xfId="0" applyFont="1" applyFill="1" applyBorder="1"/>
    <xf numFmtId="167" fontId="28" fillId="12" borderId="1" xfId="2" applyNumberFormat="1" applyFont="1" applyFill="1" applyBorder="1"/>
    <xf numFmtId="2" fontId="26" fillId="12" borderId="17" xfId="2" applyNumberFormat="1" applyFont="1" applyFill="1" applyBorder="1"/>
    <xf numFmtId="0" fontId="13" fillId="3" borderId="9" xfId="0" applyFont="1" applyFill="1" applyBorder="1"/>
    <xf numFmtId="2" fontId="26" fillId="3" borderId="17" xfId="2" applyNumberFormat="1" applyFont="1" applyFill="1" applyBorder="1"/>
    <xf numFmtId="0" fontId="13" fillId="4" borderId="9" xfId="0" applyFont="1" applyFill="1" applyBorder="1"/>
    <xf numFmtId="0" fontId="13" fillId="4" borderId="1" xfId="0" applyFont="1" applyFill="1" applyBorder="1" applyAlignment="1">
      <alignment horizontal="left" vertical="center" wrapText="1"/>
    </xf>
    <xf numFmtId="0" fontId="29" fillId="4" borderId="14" xfId="0" applyFont="1" applyFill="1" applyBorder="1"/>
    <xf numFmtId="167" fontId="29" fillId="4" borderId="1" xfId="2" applyNumberFormat="1" applyFont="1" applyFill="1" applyBorder="1"/>
    <xf numFmtId="2" fontId="26" fillId="4" borderId="17" xfId="2" applyNumberFormat="1" applyFont="1" applyFill="1" applyBorder="1"/>
    <xf numFmtId="0" fontId="11" fillId="3" borderId="1" xfId="0" applyFont="1" applyFill="1" applyBorder="1"/>
    <xf numFmtId="167" fontId="30" fillId="3" borderId="1" xfId="2" applyNumberFormat="1" applyFont="1" applyFill="1" applyBorder="1"/>
    <xf numFmtId="0" fontId="11" fillId="3" borderId="1" xfId="0" applyFont="1" applyFill="1" applyBorder="1" applyAlignment="1">
      <alignment vertical="center"/>
    </xf>
    <xf numFmtId="0" fontId="13" fillId="10" borderId="9" xfId="0" applyFont="1" applyFill="1" applyBorder="1"/>
    <xf numFmtId="0" fontId="11" fillId="10" borderId="1" xfId="0" applyFont="1" applyFill="1" applyBorder="1" applyAlignment="1">
      <alignment vertical="center"/>
    </xf>
    <xf numFmtId="167" fontId="31" fillId="10" borderId="1" xfId="2" applyNumberFormat="1" applyFont="1" applyFill="1" applyBorder="1"/>
    <xf numFmtId="2" fontId="26" fillId="10" borderId="17" xfId="2" applyNumberFormat="1" applyFont="1" applyFill="1" applyBorder="1"/>
    <xf numFmtId="0" fontId="13" fillId="9" borderId="9" xfId="0" applyFont="1" applyFill="1" applyBorder="1"/>
    <xf numFmtId="0" fontId="11" fillId="9" borderId="1" xfId="0" applyFont="1" applyFill="1" applyBorder="1" applyAlignment="1">
      <alignment horizontal="left" vertical="center"/>
    </xf>
    <xf numFmtId="0" fontId="31" fillId="9" borderId="14" xfId="0" applyFont="1" applyFill="1" applyBorder="1"/>
    <xf numFmtId="167" fontId="31" fillId="9" borderId="1" xfId="2" applyNumberFormat="1" applyFont="1" applyFill="1" applyBorder="1"/>
    <xf numFmtId="2" fontId="26" fillId="9" borderId="17" xfId="2" applyNumberFormat="1" applyFont="1" applyFill="1" applyBorder="1"/>
    <xf numFmtId="0" fontId="11" fillId="9" borderId="1" xfId="0" applyFont="1" applyFill="1" applyBorder="1" applyAlignment="1">
      <alignment horizontal="left" vertical="center" wrapText="1"/>
    </xf>
    <xf numFmtId="0" fontId="13" fillId="6" borderId="1" xfId="0" applyFont="1" applyFill="1" applyBorder="1"/>
    <xf numFmtId="0" fontId="11" fillId="6" borderId="1" xfId="0" applyFont="1" applyFill="1" applyBorder="1" applyAlignment="1">
      <alignment horizontal="left" vertical="center" wrapText="1"/>
    </xf>
    <xf numFmtId="0" fontId="42" fillId="6" borderId="1" xfId="0" applyFont="1" applyFill="1" applyBorder="1"/>
    <xf numFmtId="167" fontId="42" fillId="6" borderId="1" xfId="2" applyNumberFormat="1" applyFont="1" applyFill="1" applyBorder="1" applyAlignment="1">
      <alignment horizontal="center" vertical="center"/>
    </xf>
    <xf numFmtId="167" fontId="0" fillId="0" borderId="0" xfId="0" applyNumberFormat="1"/>
    <xf numFmtId="2" fontId="26" fillId="3" borderId="0" xfId="2" applyNumberFormat="1" applyFont="1" applyFill="1" applyBorder="1"/>
    <xf numFmtId="2" fontId="26" fillId="6" borderId="14" xfId="2" applyNumberFormat="1" applyFont="1" applyFill="1" applyBorder="1"/>
    <xf numFmtId="0" fontId="0" fillId="7" borderId="7" xfId="0" applyFill="1" applyBorder="1"/>
    <xf numFmtId="169" fontId="0" fillId="7" borderId="7" xfId="4" applyNumberFormat="1" applyFont="1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0" fillId="7" borderId="19" xfId="0" applyFill="1" applyBorder="1"/>
    <xf numFmtId="0" fontId="0" fillId="6" borderId="22" xfId="0" applyFill="1" applyBorder="1"/>
    <xf numFmtId="0" fontId="0" fillId="6" borderId="23" xfId="0" applyFill="1" applyBorder="1"/>
    <xf numFmtId="169" fontId="0" fillId="6" borderId="23" xfId="4" applyNumberFormat="1" applyFont="1" applyFill="1" applyBorder="1"/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169" fontId="0" fillId="6" borderId="46" xfId="4" applyNumberFormat="1" applyFont="1" applyFill="1" applyBorder="1"/>
    <xf numFmtId="167" fontId="14" fillId="8" borderId="1" xfId="0" applyNumberFormat="1" applyFont="1" applyFill="1" applyBorder="1" applyAlignment="1">
      <alignment wrapText="1"/>
    </xf>
    <xf numFmtId="167" fontId="14" fillId="12" borderId="1" xfId="0" applyNumberFormat="1" applyFont="1" applyFill="1" applyBorder="1" applyAlignment="1">
      <alignment wrapText="1"/>
    </xf>
    <xf numFmtId="167" fontId="14" fillId="4" borderId="1" xfId="0" applyNumberFormat="1" applyFont="1" applyFill="1" applyBorder="1" applyAlignment="1">
      <alignment wrapText="1"/>
    </xf>
    <xf numFmtId="167" fontId="14" fillId="3" borderId="1" xfId="0" applyNumberFormat="1" applyFont="1" applyFill="1" applyBorder="1" applyAlignment="1">
      <alignment wrapText="1"/>
    </xf>
    <xf numFmtId="167" fontId="14" fillId="10" borderId="1" xfId="0" applyNumberFormat="1" applyFont="1" applyFill="1" applyBorder="1" applyAlignment="1">
      <alignment wrapText="1"/>
    </xf>
    <xf numFmtId="167" fontId="14" fillId="6" borderId="1" xfId="0" applyNumberFormat="1" applyFont="1" applyFill="1" applyBorder="1" applyAlignment="1">
      <alignment wrapText="1"/>
    </xf>
    <xf numFmtId="167" fontId="14" fillId="12" borderId="1" xfId="0" applyNumberFormat="1" applyFont="1" applyFill="1" applyBorder="1" applyAlignment="1"/>
    <xf numFmtId="167" fontId="14" fillId="4" borderId="1" xfId="0" applyNumberFormat="1" applyFont="1" applyFill="1" applyBorder="1" applyAlignment="1"/>
    <xf numFmtId="167" fontId="14" fillId="3" borderId="1" xfId="0" applyNumberFormat="1" applyFont="1" applyFill="1" applyBorder="1" applyAlignment="1"/>
    <xf numFmtId="167" fontId="14" fillId="10" borderId="1" xfId="0" applyNumberFormat="1" applyFont="1" applyFill="1" applyBorder="1" applyAlignment="1"/>
    <xf numFmtId="167" fontId="14" fillId="6" borderId="1" xfId="0" applyNumberFormat="1" applyFont="1" applyFill="1" applyBorder="1" applyAlignment="1"/>
    <xf numFmtId="167" fontId="2" fillId="0" borderId="0" xfId="0" applyNumberFormat="1" applyFont="1"/>
    <xf numFmtId="172" fontId="14" fillId="8" borderId="1" xfId="0" applyNumberFormat="1" applyFont="1" applyFill="1" applyBorder="1" applyAlignment="1">
      <alignment wrapText="1"/>
    </xf>
    <xf numFmtId="172" fontId="14" fillId="12" borderId="1" xfId="0" applyNumberFormat="1" applyFont="1" applyFill="1" applyBorder="1" applyAlignment="1">
      <alignment wrapText="1"/>
    </xf>
    <xf numFmtId="172" fontId="14" fillId="4" borderId="1" xfId="0" applyNumberFormat="1" applyFont="1" applyFill="1" applyBorder="1" applyAlignment="1">
      <alignment wrapText="1"/>
    </xf>
    <xf numFmtId="172" fontId="14" fillId="3" borderId="1" xfId="0" applyNumberFormat="1" applyFont="1" applyFill="1" applyBorder="1" applyAlignment="1">
      <alignment wrapText="1"/>
    </xf>
    <xf numFmtId="0" fontId="13" fillId="3" borderId="35" xfId="0" applyFont="1" applyFill="1" applyBorder="1"/>
    <xf numFmtId="0" fontId="11" fillId="3" borderId="19" xfId="0" applyFont="1" applyFill="1" applyBorder="1" applyAlignment="1">
      <alignment vertical="center"/>
    </xf>
    <xf numFmtId="0" fontId="30" fillId="3" borderId="20" xfId="0" applyFont="1" applyFill="1" applyBorder="1"/>
    <xf numFmtId="167" fontId="30" fillId="3" borderId="19" xfId="2" applyNumberFormat="1" applyFont="1" applyFill="1" applyBorder="1"/>
    <xf numFmtId="0" fontId="13" fillId="10" borderId="22" xfId="0" applyFont="1" applyFill="1" applyBorder="1"/>
    <xf numFmtId="0" fontId="11" fillId="10" borderId="23" xfId="0" applyFont="1" applyFill="1" applyBorder="1" applyAlignment="1">
      <alignment vertical="center"/>
    </xf>
    <xf numFmtId="0" fontId="31" fillId="10" borderId="27" xfId="0" applyFont="1" applyFill="1" applyBorder="1"/>
    <xf numFmtId="167" fontId="31" fillId="10" borderId="23" xfId="2" applyNumberFormat="1" applyFont="1" applyFill="1" applyBorder="1"/>
    <xf numFmtId="2" fontId="26" fillId="10" borderId="47" xfId="2" applyNumberFormat="1" applyFont="1" applyFill="1" applyBorder="1"/>
    <xf numFmtId="172" fontId="14" fillId="8" borderId="23" xfId="0" applyNumberFormat="1" applyFont="1" applyFill="1" applyBorder="1" applyAlignment="1">
      <alignment wrapText="1"/>
    </xf>
    <xf numFmtId="167" fontId="14" fillId="8" borderId="23" xfId="0" applyNumberFormat="1" applyFont="1" applyFill="1" applyBorder="1" applyAlignment="1">
      <alignment wrapText="1"/>
    </xf>
    <xf numFmtId="0" fontId="13" fillId="10" borderId="10" xfId="0" applyFont="1" applyFill="1" applyBorder="1"/>
    <xf numFmtId="0" fontId="11" fillId="10" borderId="11" xfId="0" applyFont="1" applyFill="1" applyBorder="1" applyAlignment="1">
      <alignment vertical="center"/>
    </xf>
    <xf numFmtId="0" fontId="31" fillId="10" borderId="48" xfId="0" applyFont="1" applyFill="1" applyBorder="1"/>
    <xf numFmtId="167" fontId="31" fillId="10" borderId="11" xfId="2" applyNumberFormat="1" applyFont="1" applyFill="1" applyBorder="1"/>
    <xf numFmtId="2" fontId="26" fillId="10" borderId="33" xfId="2" applyNumberFormat="1" applyFont="1" applyFill="1" applyBorder="1"/>
    <xf numFmtId="172" fontId="14" fillId="10" borderId="1" xfId="0" applyNumberFormat="1" applyFont="1" applyFill="1" applyBorder="1" applyAlignment="1">
      <alignment wrapText="1"/>
    </xf>
    <xf numFmtId="0" fontId="13" fillId="13" borderId="8" xfId="0" applyFont="1" applyFill="1" applyBorder="1"/>
    <xf numFmtId="0" fontId="11" fillId="13" borderId="7" xfId="0" applyFont="1" applyFill="1" applyBorder="1" applyAlignment="1">
      <alignment horizontal="left" vertical="center"/>
    </xf>
    <xf numFmtId="0" fontId="31" fillId="13" borderId="13" xfId="0" applyFont="1" applyFill="1" applyBorder="1"/>
    <xf numFmtId="167" fontId="31" fillId="13" borderId="7" xfId="2" applyNumberFormat="1" applyFont="1" applyFill="1" applyBorder="1"/>
    <xf numFmtId="2" fontId="26" fillId="13" borderId="17" xfId="2" applyNumberFormat="1" applyFont="1" applyFill="1" applyBorder="1"/>
    <xf numFmtId="0" fontId="13" fillId="13" borderId="9" xfId="0" applyFont="1" applyFill="1" applyBorder="1"/>
    <xf numFmtId="0" fontId="11" fillId="13" borderId="1" xfId="0" applyFont="1" applyFill="1" applyBorder="1" applyAlignment="1">
      <alignment horizontal="left" vertical="center" wrapText="1"/>
    </xf>
    <xf numFmtId="0" fontId="31" fillId="13" borderId="14" xfId="0" applyFont="1" applyFill="1" applyBorder="1"/>
    <xf numFmtId="167" fontId="31" fillId="13" borderId="1" xfId="2" applyNumberFormat="1" applyFont="1" applyFill="1" applyBorder="1"/>
    <xf numFmtId="167" fontId="14" fillId="13" borderId="1" xfId="0" applyNumberFormat="1" applyFont="1" applyFill="1" applyBorder="1" applyAlignment="1"/>
    <xf numFmtId="172" fontId="14" fillId="13" borderId="1" xfId="0" applyNumberFormat="1" applyFont="1" applyFill="1" applyBorder="1" applyAlignment="1">
      <alignment wrapText="1"/>
    </xf>
    <xf numFmtId="167" fontId="14" fillId="13" borderId="1" xfId="0" applyNumberFormat="1" applyFont="1" applyFill="1" applyBorder="1" applyAlignment="1">
      <alignment wrapText="1"/>
    </xf>
    <xf numFmtId="172" fontId="14" fillId="6" borderId="1" xfId="0" applyNumberFormat="1" applyFont="1" applyFill="1" applyBorder="1" applyAlignment="1">
      <alignment wrapText="1"/>
    </xf>
    <xf numFmtId="173" fontId="14" fillId="8" borderId="1" xfId="5" applyNumberFormat="1" applyFont="1" applyFill="1" applyBorder="1" applyAlignment="1">
      <alignment wrapText="1"/>
    </xf>
    <xf numFmtId="173" fontId="14" fillId="12" borderId="1" xfId="5" applyNumberFormat="1" applyFont="1" applyFill="1" applyBorder="1" applyAlignment="1">
      <alignment wrapText="1"/>
    </xf>
    <xf numFmtId="173" fontId="14" fillId="4" borderId="1" xfId="5" applyNumberFormat="1" applyFont="1" applyFill="1" applyBorder="1" applyAlignment="1">
      <alignment wrapText="1"/>
    </xf>
    <xf numFmtId="173" fontId="14" fillId="3" borderId="1" xfId="5" applyNumberFormat="1" applyFont="1" applyFill="1" applyBorder="1" applyAlignment="1">
      <alignment wrapText="1"/>
    </xf>
    <xf numFmtId="173" fontId="14" fillId="10" borderId="1" xfId="5" applyNumberFormat="1" applyFont="1" applyFill="1" applyBorder="1" applyAlignment="1">
      <alignment wrapText="1"/>
    </xf>
    <xf numFmtId="173" fontId="14" fillId="13" borderId="1" xfId="5" applyNumberFormat="1" applyFont="1" applyFill="1" applyBorder="1" applyAlignment="1">
      <alignment wrapText="1"/>
    </xf>
    <xf numFmtId="173" fontId="14" fillId="6" borderId="1" xfId="5" applyNumberFormat="1" applyFont="1" applyFill="1" applyBorder="1" applyAlignment="1">
      <alignment wrapText="1"/>
    </xf>
    <xf numFmtId="173" fontId="14" fillId="8" borderId="1" xfId="0" applyNumberFormat="1" applyFont="1" applyFill="1" applyBorder="1" applyAlignment="1">
      <alignment wrapText="1"/>
    </xf>
    <xf numFmtId="173" fontId="14" fillId="12" borderId="1" xfId="0" applyNumberFormat="1" applyFont="1" applyFill="1" applyBorder="1" applyAlignment="1">
      <alignment wrapText="1"/>
    </xf>
    <xf numFmtId="173" fontId="14" fillId="4" borderId="1" xfId="0" applyNumberFormat="1" applyFont="1" applyFill="1" applyBorder="1" applyAlignment="1">
      <alignment wrapText="1"/>
    </xf>
    <xf numFmtId="173" fontId="14" fillId="3" borderId="1" xfId="0" applyNumberFormat="1" applyFont="1" applyFill="1" applyBorder="1" applyAlignment="1">
      <alignment wrapText="1"/>
    </xf>
    <xf numFmtId="173" fontId="14" fillId="10" borderId="1" xfId="0" applyNumberFormat="1" applyFont="1" applyFill="1" applyBorder="1" applyAlignment="1">
      <alignment wrapText="1"/>
    </xf>
    <xf numFmtId="173" fontId="14" fillId="13" borderId="1" xfId="0" applyNumberFormat="1" applyFont="1" applyFill="1" applyBorder="1" applyAlignment="1">
      <alignment wrapText="1"/>
    </xf>
    <xf numFmtId="173" fontId="14" fillId="6" borderId="1" xfId="0" applyNumberFormat="1" applyFont="1" applyFill="1" applyBorder="1" applyAlignment="1">
      <alignment wrapText="1"/>
    </xf>
    <xf numFmtId="174" fontId="14" fillId="8" borderId="1" xfId="0" applyNumberFormat="1" applyFont="1" applyFill="1" applyBorder="1" applyAlignment="1">
      <alignment wrapText="1"/>
    </xf>
    <xf numFmtId="174" fontId="14" fillId="12" borderId="1" xfId="0" applyNumberFormat="1" applyFont="1" applyFill="1" applyBorder="1" applyAlignment="1">
      <alignment wrapText="1"/>
    </xf>
    <xf numFmtId="174" fontId="14" fillId="4" borderId="1" xfId="0" applyNumberFormat="1" applyFont="1" applyFill="1" applyBorder="1" applyAlignment="1">
      <alignment wrapText="1"/>
    </xf>
    <xf numFmtId="174" fontId="14" fillId="3" borderId="1" xfId="0" applyNumberFormat="1" applyFont="1" applyFill="1" applyBorder="1" applyAlignment="1">
      <alignment wrapText="1"/>
    </xf>
    <xf numFmtId="174" fontId="14" fillId="10" borderId="1" xfId="0" applyNumberFormat="1" applyFont="1" applyFill="1" applyBorder="1" applyAlignment="1">
      <alignment wrapText="1"/>
    </xf>
    <xf numFmtId="174" fontId="14" fillId="13" borderId="1" xfId="0" applyNumberFormat="1" applyFont="1" applyFill="1" applyBorder="1" applyAlignment="1">
      <alignment wrapText="1"/>
    </xf>
    <xf numFmtId="174" fontId="14" fillId="6" borderId="1" xfId="0" applyNumberFormat="1" applyFont="1" applyFill="1" applyBorder="1" applyAlignment="1">
      <alignment wrapText="1"/>
    </xf>
    <xf numFmtId="2" fontId="26" fillId="8" borderId="49" xfId="2" applyNumberFormat="1" applyFont="1" applyFill="1" applyBorder="1"/>
    <xf numFmtId="2" fontId="26" fillId="8" borderId="31" xfId="2" applyNumberFormat="1" applyFont="1" applyFill="1" applyBorder="1"/>
    <xf numFmtId="2" fontId="50" fillId="8" borderId="30" xfId="2" applyNumberFormat="1" applyFont="1" applyFill="1" applyBorder="1"/>
    <xf numFmtId="2" fontId="51" fillId="12" borderId="49" xfId="2" applyNumberFormat="1" applyFont="1" applyFill="1" applyBorder="1"/>
    <xf numFmtId="2" fontId="51" fillId="12" borderId="31" xfId="2" applyNumberFormat="1" applyFont="1" applyFill="1" applyBorder="1"/>
    <xf numFmtId="2" fontId="51" fillId="12" borderId="30" xfId="2" applyNumberFormat="1" applyFont="1" applyFill="1" applyBorder="1"/>
    <xf numFmtId="2" fontId="51" fillId="4" borderId="49" xfId="2" applyNumberFormat="1" applyFont="1" applyFill="1" applyBorder="1"/>
    <xf numFmtId="2" fontId="51" fillId="4" borderId="31" xfId="2" applyNumberFormat="1" applyFont="1" applyFill="1" applyBorder="1"/>
    <xf numFmtId="2" fontId="51" fillId="4" borderId="30" xfId="2" applyNumberFormat="1" applyFont="1" applyFill="1" applyBorder="1"/>
    <xf numFmtId="2" fontId="15" fillId="3" borderId="49" xfId="2" applyNumberFormat="1" applyFont="1" applyFill="1" applyBorder="1"/>
    <xf numFmtId="2" fontId="15" fillId="3" borderId="31" xfId="2" applyNumberFormat="1" applyFont="1" applyFill="1" applyBorder="1"/>
    <xf numFmtId="2" fontId="51" fillId="10" borderId="49" xfId="2" applyNumberFormat="1" applyFont="1" applyFill="1" applyBorder="1"/>
    <xf numFmtId="2" fontId="51" fillId="10" borderId="31" xfId="2" applyNumberFormat="1" applyFont="1" applyFill="1" applyBorder="1"/>
    <xf numFmtId="2" fontId="51" fillId="10" borderId="30" xfId="2" applyNumberFormat="1" applyFont="1" applyFill="1" applyBorder="1"/>
    <xf numFmtId="2" fontId="51" fillId="13" borderId="31" xfId="2" applyNumberFormat="1" applyFont="1" applyFill="1" applyBorder="1"/>
    <xf numFmtId="2" fontId="51" fillId="13" borderId="30" xfId="2" applyNumberFormat="1" applyFont="1" applyFill="1" applyBorder="1"/>
    <xf numFmtId="2" fontId="51" fillId="6" borderId="49" xfId="2" applyNumberFormat="1" applyFont="1" applyFill="1" applyBorder="1"/>
    <xf numFmtId="2" fontId="51" fillId="6" borderId="31" xfId="2" applyNumberFormat="1" applyFont="1" applyFill="1" applyBorder="1"/>
    <xf numFmtId="2" fontId="51" fillId="6" borderId="30" xfId="2" applyNumberFormat="1" applyFont="1" applyFill="1" applyBorder="1"/>
    <xf numFmtId="172" fontId="14" fillId="8" borderId="1" xfId="4" applyNumberFormat="1" applyFont="1" applyFill="1" applyBorder="1" applyAlignment="1"/>
    <xf numFmtId="172" fontId="14" fillId="12" borderId="1" xfId="4" applyNumberFormat="1" applyFont="1" applyFill="1" applyBorder="1" applyAlignment="1"/>
    <xf numFmtId="172" fontId="14" fillId="4" borderId="1" xfId="4" applyNumberFormat="1" applyFont="1" applyFill="1" applyBorder="1" applyAlignment="1"/>
    <xf numFmtId="172" fontId="14" fillId="3" borderId="1" xfId="4" applyNumberFormat="1" applyFont="1" applyFill="1" applyBorder="1" applyAlignment="1"/>
    <xf numFmtId="172" fontId="14" fillId="10" borderId="1" xfId="4" applyNumberFormat="1" applyFont="1" applyFill="1" applyBorder="1" applyAlignment="1"/>
    <xf numFmtId="172" fontId="14" fillId="13" borderId="1" xfId="4" applyNumberFormat="1" applyFont="1" applyFill="1" applyBorder="1" applyAlignment="1"/>
    <xf numFmtId="172" fontId="14" fillId="6" borderId="1" xfId="4" applyNumberFormat="1" applyFont="1" applyFill="1" applyBorder="1" applyAlignment="1"/>
    <xf numFmtId="0" fontId="9" fillId="11" borderId="20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wrapText="1"/>
    </xf>
    <xf numFmtId="0" fontId="0" fillId="6" borderId="45" xfId="0" applyFill="1" applyBorder="1" applyAlignment="1">
      <alignment wrapText="1"/>
    </xf>
    <xf numFmtId="0" fontId="0" fillId="6" borderId="19" xfId="0" applyFill="1" applyBorder="1" applyAlignment="1">
      <alignment wrapText="1"/>
    </xf>
    <xf numFmtId="0" fontId="14" fillId="8" borderId="22" xfId="0" applyFont="1" applyFill="1" applyBorder="1" applyAlignment="1"/>
    <xf numFmtId="172" fontId="14" fillId="8" borderId="23" xfId="4" applyNumberFormat="1" applyFont="1" applyFill="1" applyBorder="1" applyAlignment="1"/>
    <xf numFmtId="173" fontId="14" fillId="8" borderId="23" xfId="5" applyNumberFormat="1" applyFont="1" applyFill="1" applyBorder="1" applyAlignment="1">
      <alignment wrapText="1"/>
    </xf>
    <xf numFmtId="173" fontId="14" fillId="8" borderId="23" xfId="0" applyNumberFormat="1" applyFont="1" applyFill="1" applyBorder="1" applyAlignment="1">
      <alignment wrapText="1"/>
    </xf>
    <xf numFmtId="174" fontId="14" fillId="8" borderId="23" xfId="0" applyNumberFormat="1" applyFont="1" applyFill="1" applyBorder="1" applyAlignment="1">
      <alignment wrapText="1"/>
    </xf>
    <xf numFmtId="172" fontId="14" fillId="8" borderId="24" xfId="0" applyNumberFormat="1" applyFont="1" applyFill="1" applyBorder="1" applyAlignment="1">
      <alignment wrapText="1"/>
    </xf>
    <xf numFmtId="0" fontId="14" fillId="8" borderId="9" xfId="0" applyFont="1" applyFill="1" applyBorder="1" applyAlignment="1"/>
    <xf numFmtId="172" fontId="14" fillId="8" borderId="25" xfId="0" applyNumberFormat="1" applyFont="1" applyFill="1" applyBorder="1" applyAlignment="1">
      <alignment wrapText="1"/>
    </xf>
    <xf numFmtId="167" fontId="14" fillId="12" borderId="9" xfId="0" applyNumberFormat="1" applyFont="1" applyFill="1" applyBorder="1" applyAlignment="1"/>
    <xf numFmtId="172" fontId="14" fillId="12" borderId="25" xfId="0" applyNumberFormat="1" applyFont="1" applyFill="1" applyBorder="1" applyAlignment="1">
      <alignment wrapText="1"/>
    </xf>
    <xf numFmtId="167" fontId="14" fillId="4" borderId="9" xfId="0" applyNumberFormat="1" applyFont="1" applyFill="1" applyBorder="1" applyAlignment="1"/>
    <xf numFmtId="172" fontId="14" fillId="4" borderId="25" xfId="0" applyNumberFormat="1" applyFont="1" applyFill="1" applyBorder="1" applyAlignment="1">
      <alignment wrapText="1"/>
    </xf>
    <xf numFmtId="167" fontId="14" fillId="3" borderId="9" xfId="0" applyNumberFormat="1" applyFont="1" applyFill="1" applyBorder="1" applyAlignment="1"/>
    <xf numFmtId="172" fontId="14" fillId="3" borderId="25" xfId="0" applyNumberFormat="1" applyFont="1" applyFill="1" applyBorder="1" applyAlignment="1">
      <alignment wrapText="1"/>
    </xf>
    <xf numFmtId="167" fontId="14" fillId="10" borderId="9" xfId="0" applyNumberFormat="1" applyFont="1" applyFill="1" applyBorder="1" applyAlignment="1"/>
    <xf numFmtId="172" fontId="14" fillId="10" borderId="25" xfId="0" applyNumberFormat="1" applyFont="1" applyFill="1" applyBorder="1" applyAlignment="1">
      <alignment wrapText="1"/>
    </xf>
    <xf numFmtId="167" fontId="14" fillId="13" borderId="9" xfId="0" applyNumberFormat="1" applyFont="1" applyFill="1" applyBorder="1" applyAlignment="1"/>
    <xf numFmtId="172" fontId="14" fillId="13" borderId="25" xfId="0" applyNumberFormat="1" applyFont="1" applyFill="1" applyBorder="1" applyAlignment="1">
      <alignment wrapText="1"/>
    </xf>
    <xf numFmtId="167" fontId="14" fillId="6" borderId="9" xfId="0" applyNumberFormat="1" applyFont="1" applyFill="1" applyBorder="1" applyAlignment="1"/>
    <xf numFmtId="172" fontId="14" fillId="6" borderId="25" xfId="0" applyNumberFormat="1" applyFont="1" applyFill="1" applyBorder="1" applyAlignment="1">
      <alignment wrapText="1"/>
    </xf>
    <xf numFmtId="167" fontId="14" fillId="6" borderId="10" xfId="0" applyNumberFormat="1" applyFont="1" applyFill="1" applyBorder="1" applyAlignment="1"/>
    <xf numFmtId="172" fontId="14" fillId="6" borderId="11" xfId="4" applyNumberFormat="1" applyFont="1" applyFill="1" applyBorder="1" applyAlignment="1"/>
    <xf numFmtId="167" fontId="14" fillId="6" borderId="11" xfId="0" applyNumberFormat="1" applyFont="1" applyFill="1" applyBorder="1" applyAlignment="1"/>
    <xf numFmtId="172" fontId="14" fillId="6" borderId="11" xfId="0" applyNumberFormat="1" applyFont="1" applyFill="1" applyBorder="1" applyAlignment="1">
      <alignment wrapText="1"/>
    </xf>
    <xf numFmtId="173" fontId="14" fillId="6" borderId="11" xfId="5" applyNumberFormat="1" applyFont="1" applyFill="1" applyBorder="1" applyAlignment="1">
      <alignment wrapText="1"/>
    </xf>
    <xf numFmtId="167" fontId="14" fillId="6" borderId="11" xfId="0" applyNumberFormat="1" applyFont="1" applyFill="1" applyBorder="1" applyAlignment="1">
      <alignment wrapText="1"/>
    </xf>
    <xf numFmtId="173" fontId="14" fillId="6" borderId="11" xfId="0" applyNumberFormat="1" applyFont="1" applyFill="1" applyBorder="1" applyAlignment="1">
      <alignment wrapText="1"/>
    </xf>
    <xf numFmtId="174" fontId="14" fillId="6" borderId="11" xfId="0" applyNumberFormat="1" applyFont="1" applyFill="1" applyBorder="1" applyAlignment="1">
      <alignment wrapText="1"/>
    </xf>
    <xf numFmtId="172" fontId="14" fillId="6" borderId="46" xfId="0" applyNumberFormat="1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11" borderId="2" xfId="0" applyFill="1" applyBorder="1"/>
    <xf numFmtId="0" fontId="0" fillId="7" borderId="18" xfId="0" applyFill="1" applyBorder="1"/>
    <xf numFmtId="0" fontId="37" fillId="0" borderId="20" xfId="0" applyFont="1" applyBorder="1" applyAlignment="1">
      <alignment wrapText="1"/>
    </xf>
    <xf numFmtId="0" fontId="2" fillId="0" borderId="49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11" borderId="40" xfId="0" applyFill="1" applyBorder="1"/>
    <xf numFmtId="0" fontId="0" fillId="12" borderId="27" xfId="0" applyFill="1" applyBorder="1"/>
    <xf numFmtId="0" fontId="0" fillId="12" borderId="48" xfId="0" applyFill="1" applyBorder="1"/>
    <xf numFmtId="0" fontId="0" fillId="6" borderId="27" xfId="0" applyFill="1" applyBorder="1"/>
    <xf numFmtId="0" fontId="0" fillId="6" borderId="14" xfId="0" applyFill="1" applyBorder="1"/>
    <xf numFmtId="0" fontId="0" fillId="6" borderId="48" xfId="0" applyFill="1" applyBorder="1"/>
    <xf numFmtId="169" fontId="6" fillId="0" borderId="0" xfId="4" applyNumberFormat="1" applyFont="1"/>
    <xf numFmtId="0" fontId="0" fillId="0" borderId="49" xfId="0" applyBorder="1"/>
    <xf numFmtId="169" fontId="6" fillId="0" borderId="44" xfId="4" applyNumberFormat="1" applyFont="1" applyBorder="1"/>
    <xf numFmtId="0" fontId="0" fillId="0" borderId="44" xfId="0" applyBorder="1"/>
    <xf numFmtId="0" fontId="0" fillId="0" borderId="50" xfId="0" applyBorder="1"/>
    <xf numFmtId="0" fontId="0" fillId="0" borderId="9" xfId="0" applyBorder="1"/>
    <xf numFmtId="0" fontId="0" fillId="0" borderId="25" xfId="0" applyBorder="1"/>
    <xf numFmtId="0" fontId="0" fillId="0" borderId="31" xfId="0" applyBorder="1"/>
    <xf numFmtId="0" fontId="0" fillId="0" borderId="32" xfId="0" applyBorder="1"/>
    <xf numFmtId="0" fontId="0" fillId="0" borderId="30" xfId="0" applyBorder="1"/>
    <xf numFmtId="0" fontId="0" fillId="0" borderId="33" xfId="0" applyBorder="1"/>
    <xf numFmtId="169" fontId="0" fillId="0" borderId="34" xfId="0" applyNumberFormat="1" applyBorder="1"/>
    <xf numFmtId="10" fontId="0" fillId="0" borderId="1" xfId="1" applyNumberFormat="1" applyFont="1" applyBorder="1"/>
    <xf numFmtId="169" fontId="0" fillId="0" borderId="1" xfId="4" applyNumberFormat="1" applyFont="1" applyBorder="1"/>
    <xf numFmtId="43" fontId="0" fillId="0" borderId="1" xfId="4" applyNumberFormat="1" applyFont="1" applyBorder="1"/>
    <xf numFmtId="0" fontId="0" fillId="0" borderId="0" xfId="0" applyBorder="1" applyAlignment="1">
      <alignment horizontal="right"/>
    </xf>
    <xf numFmtId="0" fontId="6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right"/>
    </xf>
    <xf numFmtId="0" fontId="0" fillId="2" borderId="1" xfId="0" applyFill="1" applyBorder="1"/>
    <xf numFmtId="1" fontId="0" fillId="2" borderId="1" xfId="0" applyNumberFormat="1" applyFill="1" applyBorder="1" applyAlignment="1">
      <alignment horizontal="left"/>
    </xf>
    <xf numFmtId="0" fontId="0" fillId="2" borderId="0" xfId="0" applyFill="1" applyAlignment="1">
      <alignment horizontal="right"/>
    </xf>
    <xf numFmtId="167" fontId="0" fillId="2" borderId="0" xfId="2" applyNumberFormat="1" applyFont="1" applyFill="1"/>
    <xf numFmtId="0" fontId="0" fillId="2" borderId="0" xfId="0" applyFill="1"/>
    <xf numFmtId="0" fontId="0" fillId="2" borderId="0" xfId="0" applyFill="1" applyAlignment="1">
      <alignment horizontal="left"/>
    </xf>
    <xf numFmtId="0" fontId="0" fillId="0" borderId="0" xfId="0" applyAlignment="1">
      <alignment horizontal="right"/>
    </xf>
    <xf numFmtId="43" fontId="5" fillId="2" borderId="1" xfId="4" applyNumberFormat="1" applyFont="1" applyFill="1" applyBorder="1" applyAlignment="1">
      <alignment horizontal="right"/>
    </xf>
    <xf numFmtId="0" fontId="37" fillId="0" borderId="0" xfId="0" applyFont="1" applyAlignment="1">
      <alignment horizontal="center"/>
    </xf>
    <xf numFmtId="0" fontId="37" fillId="0" borderId="44" xfId="0" applyFont="1" applyBorder="1" applyAlignment="1">
      <alignment horizontal="center"/>
    </xf>
    <xf numFmtId="175" fontId="5" fillId="2" borderId="1" xfId="4" applyNumberFormat="1" applyFont="1" applyFill="1" applyBorder="1" applyAlignment="1">
      <alignment horizontal="right"/>
    </xf>
    <xf numFmtId="175" fontId="0" fillId="0" borderId="0" xfId="4" applyNumberFormat="1" applyFont="1" applyBorder="1" applyAlignment="1">
      <alignment horizontal="right"/>
    </xf>
    <xf numFmtId="175" fontId="6" fillId="2" borderId="0" xfId="4" applyNumberFormat="1" applyFont="1" applyFill="1" applyAlignment="1">
      <alignment horizontal="right"/>
    </xf>
    <xf numFmtId="175" fontId="4" fillId="2" borderId="1" xfId="4" applyNumberFormat="1" applyFont="1" applyFill="1" applyBorder="1" applyAlignment="1">
      <alignment horizontal="right" vertical="center" wrapText="1"/>
    </xf>
    <xf numFmtId="175" fontId="4" fillId="2" borderId="0" xfId="4" applyNumberFormat="1" applyFont="1" applyFill="1" applyBorder="1" applyAlignment="1">
      <alignment horizontal="right"/>
    </xf>
    <xf numFmtId="175" fontId="0" fillId="2" borderId="0" xfId="4" applyNumberFormat="1" applyFont="1" applyFill="1" applyAlignment="1">
      <alignment horizontal="right"/>
    </xf>
    <xf numFmtId="175" fontId="0" fillId="0" borderId="0" xfId="4" applyNumberFormat="1" applyFont="1" applyAlignment="1">
      <alignment horizontal="right"/>
    </xf>
    <xf numFmtId="176" fontId="18" fillId="2" borderId="1" xfId="2" applyNumberFormat="1" applyFont="1" applyFill="1" applyBorder="1"/>
    <xf numFmtId="176" fontId="21" fillId="2" borderId="1" xfId="2" applyNumberFormat="1" applyFont="1" applyFill="1" applyBorder="1"/>
    <xf numFmtId="176" fontId="43" fillId="2" borderId="1" xfId="2" applyNumberFormat="1" applyFont="1" applyFill="1" applyBorder="1"/>
    <xf numFmtId="176" fontId="44" fillId="2" borderId="1" xfId="2" applyNumberFormat="1" applyFont="1" applyFill="1" applyBorder="1"/>
    <xf numFmtId="176" fontId="22" fillId="2" borderId="1" xfId="2" applyNumberFormat="1" applyFont="1" applyFill="1" applyBorder="1"/>
    <xf numFmtId="176" fontId="45" fillId="2" borderId="1" xfId="2" applyNumberFormat="1" applyFont="1" applyFill="1" applyBorder="1"/>
    <xf numFmtId="176" fontId="46" fillId="2" borderId="1" xfId="2" applyNumberFormat="1" applyFont="1" applyFill="1" applyBorder="1" applyAlignment="1">
      <alignment horizontal="center" vertical="center"/>
    </xf>
    <xf numFmtId="165" fontId="18" fillId="2" borderId="1" xfId="2" applyNumberFormat="1" applyFont="1" applyFill="1" applyBorder="1"/>
    <xf numFmtId="165" fontId="21" fillId="2" borderId="1" xfId="2" applyNumberFormat="1" applyFont="1" applyFill="1" applyBorder="1"/>
    <xf numFmtId="165" fontId="43" fillId="2" borderId="1" xfId="2" applyNumberFormat="1" applyFont="1" applyFill="1" applyBorder="1"/>
    <xf numFmtId="165" fontId="44" fillId="2" borderId="1" xfId="2" applyNumberFormat="1" applyFont="1" applyFill="1" applyBorder="1"/>
    <xf numFmtId="165" fontId="22" fillId="2" borderId="1" xfId="2" applyNumberFormat="1" applyFont="1" applyFill="1" applyBorder="1"/>
    <xf numFmtId="165" fontId="45" fillId="2" borderId="1" xfId="2" applyNumberFormat="1" applyFont="1" applyFill="1" applyBorder="1"/>
    <xf numFmtId="165" fontId="46" fillId="2" borderId="1" xfId="2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0" fillId="0" borderId="51" xfId="0" applyBorder="1" applyAlignment="1">
      <alignment wrapText="1"/>
    </xf>
    <xf numFmtId="0" fontId="26" fillId="2" borderId="1" xfId="0" applyFont="1" applyFill="1" applyBorder="1"/>
    <xf numFmtId="0" fontId="23" fillId="2" borderId="1" xfId="0" applyFont="1" applyFill="1" applyBorder="1"/>
    <xf numFmtId="0" fontId="26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7" fontId="53" fillId="2" borderId="1" xfId="2" applyNumberFormat="1" applyFont="1" applyFill="1" applyBorder="1"/>
    <xf numFmtId="165" fontId="53" fillId="2" borderId="1" xfId="2" applyNumberFormat="1" applyFont="1" applyFill="1" applyBorder="1"/>
    <xf numFmtId="167" fontId="54" fillId="2" borderId="1" xfId="2" applyNumberFormat="1" applyFont="1" applyFill="1" applyBorder="1"/>
    <xf numFmtId="165" fontId="54" fillId="2" borderId="1" xfId="2" applyNumberFormat="1" applyFont="1" applyFill="1" applyBorder="1"/>
    <xf numFmtId="167" fontId="55" fillId="2" borderId="1" xfId="2" applyNumberFormat="1" applyFont="1" applyFill="1" applyBorder="1"/>
    <xf numFmtId="165" fontId="55" fillId="2" borderId="1" xfId="2" applyNumberFormat="1" applyFont="1" applyFill="1" applyBorder="1"/>
    <xf numFmtId="167" fontId="56" fillId="2" borderId="1" xfId="2" applyNumberFormat="1" applyFont="1" applyFill="1" applyBorder="1"/>
    <xf numFmtId="165" fontId="56" fillId="2" borderId="1" xfId="2" applyNumberFormat="1" applyFont="1" applyFill="1" applyBorder="1"/>
    <xf numFmtId="167" fontId="57" fillId="2" borderId="1" xfId="2" applyNumberFormat="1" applyFont="1" applyFill="1" applyBorder="1"/>
    <xf numFmtId="165" fontId="57" fillId="2" borderId="1" xfId="2" applyNumberFormat="1" applyFont="1" applyFill="1" applyBorder="1"/>
    <xf numFmtId="167" fontId="58" fillId="2" borderId="1" xfId="2" applyNumberFormat="1" applyFont="1" applyFill="1" applyBorder="1"/>
    <xf numFmtId="165" fontId="58" fillId="2" borderId="1" xfId="2" applyNumberFormat="1" applyFont="1" applyFill="1" applyBorder="1"/>
    <xf numFmtId="167" fontId="59" fillId="2" borderId="1" xfId="2" applyNumberFormat="1" applyFont="1" applyFill="1" applyBorder="1" applyAlignment="1">
      <alignment horizontal="center" vertical="center"/>
    </xf>
    <xf numFmtId="165" fontId="59" fillId="2" borderId="1" xfId="2" applyNumberFormat="1" applyFont="1" applyFill="1" applyBorder="1" applyAlignment="1">
      <alignment horizontal="center" vertical="center"/>
    </xf>
    <xf numFmtId="43" fontId="0" fillId="0" borderId="1" xfId="4" applyFont="1" applyBorder="1"/>
    <xf numFmtId="43" fontId="0" fillId="0" borderId="1" xfId="4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25" xfId="0" applyBorder="1" applyAlignment="1">
      <alignment wrapText="1"/>
    </xf>
    <xf numFmtId="169" fontId="0" fillId="2" borderId="0" xfId="4" applyNumberFormat="1" applyFont="1" applyFill="1"/>
    <xf numFmtId="169" fontId="0" fillId="2" borderId="1" xfId="4" applyNumberFormat="1" applyFont="1" applyFill="1" applyBorder="1"/>
    <xf numFmtId="169" fontId="0" fillId="7" borderId="1" xfId="4" applyNumberFormat="1" applyFont="1" applyFill="1" applyBorder="1"/>
    <xf numFmtId="169" fontId="0" fillId="5" borderId="1" xfId="4" applyNumberFormat="1" applyFont="1" applyFill="1" applyBorder="1"/>
    <xf numFmtId="169" fontId="0" fillId="6" borderId="1" xfId="4" applyNumberFormat="1" applyFont="1" applyFill="1" applyBorder="1"/>
    <xf numFmtId="169" fontId="0" fillId="5" borderId="7" xfId="4" applyNumberFormat="1" applyFont="1" applyFill="1" applyBorder="1"/>
    <xf numFmtId="169" fontId="0" fillId="6" borderId="7" xfId="4" applyNumberFormat="1" applyFont="1" applyFill="1" applyBorder="1"/>
    <xf numFmtId="0" fontId="0" fillId="2" borderId="26" xfId="0" applyFill="1" applyBorder="1" applyAlignment="1">
      <alignment horizontal="center"/>
    </xf>
    <xf numFmtId="0" fontId="0" fillId="0" borderId="49" xfId="0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51" xfId="0" applyFont="1" applyBorder="1" applyAlignment="1">
      <alignment wrapText="1"/>
    </xf>
    <xf numFmtId="0" fontId="2" fillId="0" borderId="25" xfId="0" applyFont="1" applyBorder="1" applyAlignment="1">
      <alignment wrapText="1"/>
    </xf>
    <xf numFmtId="0" fontId="2" fillId="0" borderId="0" xfId="0" applyFont="1" applyAlignment="1">
      <alignment wrapText="1"/>
    </xf>
    <xf numFmtId="169" fontId="0" fillId="0" borderId="0" xfId="4" applyNumberFormat="1" applyFont="1" applyAlignment="1">
      <alignment wrapText="1"/>
    </xf>
    <xf numFmtId="169" fontId="2" fillId="0" borderId="0" xfId="4" applyNumberFormat="1" applyFont="1" applyAlignment="1">
      <alignment wrapText="1"/>
    </xf>
    <xf numFmtId="0" fontId="0" fillId="0" borderId="52" xfId="0" applyBorder="1"/>
    <xf numFmtId="169" fontId="0" fillId="0" borderId="0" xfId="0" applyNumberFormat="1" applyFill="1" applyBorder="1"/>
    <xf numFmtId="175" fontId="0" fillId="0" borderId="1" xfId="4" applyNumberFormat="1" applyFont="1" applyBorder="1"/>
    <xf numFmtId="175" fontId="0" fillId="0" borderId="0" xfId="4" applyNumberFormat="1" applyFont="1" applyFill="1" applyBorder="1"/>
    <xf numFmtId="175" fontId="0" fillId="0" borderId="0" xfId="0" applyNumberFormat="1"/>
    <xf numFmtId="175" fontId="2" fillId="0" borderId="1" xfId="0" applyNumberFormat="1" applyFont="1" applyBorder="1" applyAlignment="1">
      <alignment wrapText="1"/>
    </xf>
    <xf numFmtId="175" fontId="0" fillId="0" borderId="0" xfId="0" applyNumberFormat="1" applyFill="1" applyBorder="1"/>
    <xf numFmtId="175" fontId="2" fillId="0" borderId="51" xfId="0" applyNumberFormat="1" applyFont="1" applyBorder="1" applyAlignment="1">
      <alignment wrapText="1"/>
    </xf>
    <xf numFmtId="175" fontId="0" fillId="0" borderId="0" xfId="0" applyNumberFormat="1" applyBorder="1"/>
    <xf numFmtId="175" fontId="0" fillId="0" borderId="33" xfId="0" applyNumberFormat="1" applyBorder="1"/>
    <xf numFmtId="0" fontId="0" fillId="2" borderId="23" xfId="0" applyFill="1" applyBorder="1"/>
    <xf numFmtId="1" fontId="0" fillId="2" borderId="23" xfId="0" applyNumberFormat="1" applyFill="1" applyBorder="1"/>
    <xf numFmtId="169" fontId="0" fillId="2" borderId="23" xfId="4" applyNumberFormat="1" applyFont="1" applyFill="1" applyBorder="1"/>
    <xf numFmtId="169" fontId="0" fillId="2" borderId="24" xfId="4" applyNumberFormat="1" applyFont="1" applyFill="1" applyBorder="1"/>
    <xf numFmtId="1" fontId="0" fillId="2" borderId="1" xfId="0" applyNumberFormat="1" applyFill="1" applyBorder="1"/>
    <xf numFmtId="169" fontId="0" fillId="2" borderId="25" xfId="4" applyNumberFormat="1" applyFont="1" applyFill="1" applyBorder="1"/>
    <xf numFmtId="0" fontId="0" fillId="2" borderId="7" xfId="0" applyFill="1" applyBorder="1"/>
    <xf numFmtId="1" fontId="0" fillId="2" borderId="7" xfId="0" applyNumberFormat="1" applyFill="1" applyBorder="1"/>
    <xf numFmtId="169" fontId="0" fillId="2" borderId="7" xfId="4" applyNumberFormat="1" applyFont="1" applyFill="1" applyBorder="1"/>
    <xf numFmtId="0" fontId="0" fillId="2" borderId="5" xfId="0" applyFill="1" applyBorder="1"/>
    <xf numFmtId="0" fontId="0" fillId="2" borderId="51" xfId="0" applyFill="1" applyBorder="1"/>
    <xf numFmtId="0" fontId="0" fillId="2" borderId="53" xfId="0" applyFill="1" applyBorder="1"/>
    <xf numFmtId="0" fontId="0" fillId="2" borderId="54" xfId="0" applyFill="1" applyBorder="1"/>
    <xf numFmtId="0" fontId="0" fillId="2" borderId="15" xfId="0" applyFill="1" applyBorder="1"/>
    <xf numFmtId="0" fontId="62" fillId="2" borderId="2" xfId="0" applyFont="1" applyFill="1" applyBorder="1"/>
    <xf numFmtId="0" fontId="62" fillId="2" borderId="42" xfId="0" applyFont="1" applyFill="1" applyBorder="1"/>
    <xf numFmtId="0" fontId="62" fillId="2" borderId="39" xfId="0" applyFont="1" applyFill="1" applyBorder="1"/>
    <xf numFmtId="1" fontId="62" fillId="2" borderId="39" xfId="0" applyNumberFormat="1" applyFont="1" applyFill="1" applyBorder="1"/>
    <xf numFmtId="169" fontId="62" fillId="2" borderId="42" xfId="4" applyNumberFormat="1" applyFont="1" applyFill="1" applyBorder="1"/>
    <xf numFmtId="0" fontId="62" fillId="2" borderId="0" xfId="0" applyFont="1" applyFill="1"/>
    <xf numFmtId="0" fontId="62" fillId="2" borderId="30" xfId="0" applyFont="1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7" xfId="0" applyFill="1" applyBorder="1"/>
    <xf numFmtId="0" fontId="62" fillId="2" borderId="31" xfId="0" applyFont="1" applyFill="1" applyBorder="1"/>
    <xf numFmtId="169" fontId="0" fillId="2" borderId="14" xfId="4" applyNumberFormat="1" applyFont="1" applyFill="1" applyBorder="1"/>
    <xf numFmtId="1" fontId="62" fillId="2" borderId="40" xfId="0" applyNumberFormat="1" applyFont="1" applyFill="1" applyBorder="1"/>
    <xf numFmtId="169" fontId="0" fillId="2" borderId="13" xfId="4" applyNumberFormat="1" applyFont="1" applyFill="1" applyBorder="1"/>
    <xf numFmtId="169" fontId="62" fillId="2" borderId="3" xfId="4" applyNumberFormat="1" applyFont="1" applyFill="1" applyBorder="1"/>
    <xf numFmtId="0" fontId="0" fillId="2" borderId="22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1" fontId="0" fillId="2" borderId="11" xfId="0" applyNumberFormat="1" applyFill="1" applyBorder="1"/>
    <xf numFmtId="169" fontId="0" fillId="2" borderId="11" xfId="4" applyNumberFormat="1" applyFont="1" applyFill="1" applyBorder="1"/>
    <xf numFmtId="169" fontId="0" fillId="2" borderId="46" xfId="4" applyNumberFormat="1" applyFont="1" applyFill="1" applyBorder="1"/>
    <xf numFmtId="0" fontId="0" fillId="2" borderId="52" xfId="0" applyFill="1" applyBorder="1"/>
    <xf numFmtId="169" fontId="0" fillId="2" borderId="0" xfId="0" applyNumberFormat="1" applyFill="1"/>
    <xf numFmtId="0" fontId="64" fillId="0" borderId="0" xfId="0" applyFont="1" applyAlignment="1">
      <alignment wrapText="1"/>
    </xf>
    <xf numFmtId="169" fontId="64" fillId="0" borderId="19" xfId="4" applyNumberFormat="1" applyFont="1" applyBorder="1" applyAlignment="1">
      <alignment wrapText="1"/>
    </xf>
    <xf numFmtId="0" fontId="64" fillId="0" borderId="14" xfId="0" applyFont="1" applyBorder="1" applyAlignment="1">
      <alignment wrapText="1"/>
    </xf>
    <xf numFmtId="0" fontId="62" fillId="0" borderId="0" xfId="0" applyFont="1"/>
    <xf numFmtId="0" fontId="2" fillId="0" borderId="0" xfId="0" applyFont="1" applyFill="1" applyBorder="1" applyAlignment="1">
      <alignment horizontal="center"/>
    </xf>
    <xf numFmtId="0" fontId="61" fillId="0" borderId="0" xfId="0" applyFont="1"/>
    <xf numFmtId="0" fontId="65" fillId="0" borderId="0" xfId="0" applyFont="1"/>
    <xf numFmtId="0" fontId="61" fillId="0" borderId="0" xfId="0" applyFont="1" applyFill="1" applyBorder="1" applyAlignment="1">
      <alignment horizontal="center"/>
    </xf>
    <xf numFmtId="0" fontId="63" fillId="0" borderId="0" xfId="0" applyFont="1"/>
    <xf numFmtId="0" fontId="63" fillId="0" borderId="6" xfId="0" applyFont="1" applyBorder="1" applyAlignment="1">
      <alignment wrapText="1"/>
    </xf>
    <xf numFmtId="0" fontId="67" fillId="0" borderId="22" xfId="0" applyFont="1" applyBorder="1" applyAlignment="1">
      <alignment horizontal="center" wrapText="1"/>
    </xf>
    <xf numFmtId="0" fontId="67" fillId="0" borderId="23" xfId="0" applyFont="1" applyBorder="1" applyAlignment="1">
      <alignment horizontal="center" wrapText="1"/>
    </xf>
    <xf numFmtId="0" fontId="67" fillId="0" borderId="24" xfId="0" applyFont="1" applyBorder="1" applyAlignment="1">
      <alignment horizontal="center" wrapText="1"/>
    </xf>
    <xf numFmtId="0" fontId="65" fillId="0" borderId="9" xfId="0" applyFont="1" applyBorder="1" applyAlignment="1">
      <alignment horizontal="center"/>
    </xf>
    <xf numFmtId="0" fontId="65" fillId="0" borderId="1" xfId="0" applyFont="1" applyBorder="1" applyAlignment="1">
      <alignment horizontal="center"/>
    </xf>
    <xf numFmtId="0" fontId="65" fillId="0" borderId="25" xfId="0" applyFont="1" applyBorder="1" applyAlignment="1">
      <alignment horizontal="center"/>
    </xf>
    <xf numFmtId="0" fontId="65" fillId="0" borderId="10" xfId="0" applyFont="1" applyBorder="1" applyAlignment="1">
      <alignment horizontal="center"/>
    </xf>
    <xf numFmtId="0" fontId="65" fillId="0" borderId="11" xfId="0" applyFont="1" applyBorder="1" applyAlignment="1">
      <alignment horizontal="center"/>
    </xf>
    <xf numFmtId="0" fontId="65" fillId="0" borderId="46" xfId="0" applyFont="1" applyBorder="1" applyAlignment="1">
      <alignment horizontal="center"/>
    </xf>
    <xf numFmtId="0" fontId="0" fillId="7" borderId="0" xfId="0" applyFill="1" applyBorder="1"/>
    <xf numFmtId="0" fontId="0" fillId="6" borderId="19" xfId="0" applyFill="1" applyBorder="1"/>
    <xf numFmtId="0" fontId="0" fillId="6" borderId="7" xfId="0" applyFill="1" applyBorder="1"/>
    <xf numFmtId="0" fontId="0" fillId="6" borderId="0" xfId="0" applyFill="1" applyBorder="1"/>
    <xf numFmtId="0" fontId="0" fillId="5" borderId="8" xfId="0" applyFill="1" applyBorder="1"/>
    <xf numFmtId="0" fontId="0" fillId="5" borderId="7" xfId="0" applyFill="1" applyBorder="1"/>
    <xf numFmtId="169" fontId="15" fillId="5" borderId="7" xfId="4" applyNumberFormat="1" applyFont="1" applyFill="1" applyBorder="1"/>
    <xf numFmtId="169" fontId="66" fillId="5" borderId="7" xfId="4" applyNumberFormat="1" applyFont="1" applyFill="1" applyBorder="1" applyAlignment="1"/>
    <xf numFmtId="169" fontId="2" fillId="2" borderId="1" xfId="4" applyNumberFormat="1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0" fillId="4" borderId="49" xfId="0" applyFill="1" applyBorder="1"/>
    <xf numFmtId="0" fontId="0" fillId="4" borderId="44" xfId="0" applyFill="1" applyBorder="1"/>
    <xf numFmtId="0" fontId="0" fillId="4" borderId="50" xfId="0" applyFill="1" applyBorder="1"/>
    <xf numFmtId="0" fontId="0" fillId="4" borderId="31" xfId="0" applyFill="1" applyBorder="1"/>
    <xf numFmtId="0" fontId="0" fillId="4" borderId="0" xfId="0" applyFill="1" applyBorder="1"/>
    <xf numFmtId="0" fontId="0" fillId="4" borderId="32" xfId="0" applyFill="1" applyBorder="1"/>
    <xf numFmtId="0" fontId="68" fillId="4" borderId="30" xfId="6" applyFill="1" applyBorder="1"/>
    <xf numFmtId="0" fontId="0" fillId="4" borderId="33" xfId="0" applyFill="1" applyBorder="1"/>
    <xf numFmtId="0" fontId="0" fillId="4" borderId="34" xfId="0" applyFill="1" applyBorder="1"/>
    <xf numFmtId="0" fontId="0" fillId="4" borderId="30" xfId="0" applyFill="1" applyBorder="1"/>
    <xf numFmtId="0" fontId="0" fillId="0" borderId="19" xfId="0" applyBorder="1"/>
    <xf numFmtId="0" fontId="0" fillId="0" borderId="6" xfId="0" applyBorder="1"/>
    <xf numFmtId="169" fontId="2" fillId="0" borderId="6" xfId="0" applyNumberFormat="1" applyFont="1" applyBorder="1"/>
    <xf numFmtId="169" fontId="0" fillId="0" borderId="6" xfId="4" applyNumberFormat="1" applyFont="1" applyBorder="1"/>
    <xf numFmtId="169" fontId="0" fillId="2" borderId="51" xfId="4" applyNumberFormat="1" applyFont="1" applyFill="1" applyBorder="1" applyAlignment="1">
      <alignment vertical="center" wrapText="1"/>
    </xf>
    <xf numFmtId="169" fontId="0" fillId="2" borderId="53" xfId="4" applyNumberFormat="1" applyFont="1" applyFill="1" applyBorder="1" applyAlignment="1">
      <alignment vertical="center" wrapText="1"/>
    </xf>
    <xf numFmtId="169" fontId="0" fillId="2" borderId="54" xfId="4" applyNumberFormat="1" applyFont="1" applyFill="1" applyBorder="1" applyAlignment="1">
      <alignment vertical="center" wrapText="1"/>
    </xf>
    <xf numFmtId="0" fontId="0" fillId="11" borderId="43" xfId="0" applyFill="1" applyBorder="1" applyAlignment="1">
      <alignment horizontal="center"/>
    </xf>
    <xf numFmtId="9" fontId="0" fillId="11" borderId="6" xfId="0" applyNumberFormat="1" applyFill="1" applyBorder="1" applyAlignment="1">
      <alignment horizontal="center" vertical="center"/>
    </xf>
    <xf numFmtId="0" fontId="0" fillId="12" borderId="43" xfId="0" applyFill="1" applyBorder="1" applyAlignment="1">
      <alignment horizontal="center"/>
    </xf>
    <xf numFmtId="0" fontId="0" fillId="6" borderId="43" xfId="0" applyFill="1" applyBorder="1" applyAlignment="1">
      <alignment horizontal="center"/>
    </xf>
    <xf numFmtId="0" fontId="2" fillId="0" borderId="6" xfId="0" applyFont="1" applyBorder="1" applyAlignment="1">
      <alignment wrapText="1"/>
    </xf>
    <xf numFmtId="1" fontId="62" fillId="2" borderId="51" xfId="0" applyNumberFormat="1" applyFont="1" applyFill="1" applyBorder="1" applyAlignment="1">
      <alignment horizontal="center"/>
    </xf>
    <xf numFmtId="1" fontId="62" fillId="2" borderId="53" xfId="0" applyNumberFormat="1" applyFont="1" applyFill="1" applyBorder="1" applyAlignment="1">
      <alignment horizontal="center"/>
    </xf>
    <xf numFmtId="1" fontId="62" fillId="2" borderId="54" xfId="0" applyNumberFormat="1" applyFont="1" applyFill="1" applyBorder="1" applyAlignment="1">
      <alignment horizontal="center"/>
    </xf>
    <xf numFmtId="1" fontId="62" fillId="2" borderId="50" xfId="0" applyNumberFormat="1" applyFont="1" applyFill="1" applyBorder="1" applyAlignment="1">
      <alignment horizontal="center"/>
    </xf>
    <xf numFmtId="1" fontId="62" fillId="2" borderId="32" xfId="0" applyNumberFormat="1" applyFont="1" applyFill="1" applyBorder="1" applyAlignment="1">
      <alignment horizontal="center"/>
    </xf>
    <xf numFmtId="1" fontId="0" fillId="2" borderId="0" xfId="0" applyNumberFormat="1" applyFill="1"/>
    <xf numFmtId="10" fontId="0" fillId="0" borderId="0" xfId="0" applyNumberFormat="1"/>
    <xf numFmtId="0" fontId="64" fillId="0" borderId="0" xfId="0" applyFont="1" applyBorder="1" applyAlignment="1">
      <alignment wrapText="1"/>
    </xf>
    <xf numFmtId="0" fontId="0" fillId="2" borderId="0" xfId="0" applyFill="1" applyBorder="1"/>
    <xf numFmtId="0" fontId="0" fillId="2" borderId="6" xfId="0" applyFill="1" applyBorder="1"/>
    <xf numFmtId="169" fontId="0" fillId="2" borderId="6" xfId="0" applyNumberFormat="1" applyFill="1" applyBorder="1"/>
    <xf numFmtId="0" fontId="0" fillId="2" borderId="2" xfId="0" applyFill="1" applyBorder="1"/>
    <xf numFmtId="0" fontId="0" fillId="2" borderId="3" xfId="0" applyFill="1" applyBorder="1"/>
    <xf numFmtId="169" fontId="0" fillId="2" borderId="3" xfId="0" applyNumberFormat="1" applyFill="1" applyBorder="1"/>
    <xf numFmtId="169" fontId="25" fillId="2" borderId="7" xfId="4" applyNumberFormat="1" applyFont="1" applyFill="1" applyBorder="1"/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3" fillId="3" borderId="3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5" xfId="0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32" fillId="0" borderId="3" xfId="0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33" fillId="3" borderId="31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>
      <alignment horizontal="center" vertical="center" wrapText="1"/>
    </xf>
    <xf numFmtId="0" fontId="33" fillId="3" borderId="32" xfId="0" applyFont="1" applyFill="1" applyBorder="1" applyAlignment="1">
      <alignment horizontal="center" vertical="center" wrapText="1"/>
    </xf>
    <xf numFmtId="0" fontId="33" fillId="5" borderId="30" xfId="0" applyFont="1" applyFill="1" applyBorder="1" applyAlignment="1">
      <alignment horizontal="center" vertical="center" wrapText="1"/>
    </xf>
    <xf numFmtId="0" fontId="33" fillId="5" borderId="33" xfId="0" applyFont="1" applyFill="1" applyBorder="1" applyAlignment="1">
      <alignment horizontal="center" vertical="center" wrapText="1"/>
    </xf>
    <xf numFmtId="0" fontId="33" fillId="5" borderId="34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0" fontId="33" fillId="4" borderId="33" xfId="0" applyFont="1" applyFill="1" applyBorder="1" applyAlignment="1">
      <alignment horizontal="center" vertical="center" wrapText="1"/>
    </xf>
    <xf numFmtId="0" fontId="33" fillId="4" borderId="3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60" fillId="0" borderId="31" xfId="0" applyFont="1" applyBorder="1" applyAlignment="1">
      <alignment horizontal="center"/>
    </xf>
    <xf numFmtId="0" fontId="60" fillId="0" borderId="0" xfId="0" applyFont="1" applyBorder="1" applyAlignment="1">
      <alignment horizontal="center"/>
    </xf>
    <xf numFmtId="0" fontId="0" fillId="12" borderId="49" xfId="0" applyFill="1" applyBorder="1" applyAlignment="1">
      <alignment horizontal="center"/>
    </xf>
    <xf numFmtId="0" fontId="0" fillId="12" borderId="30" xfId="0" applyFill="1" applyBorder="1" applyAlignment="1">
      <alignment horizontal="center"/>
    </xf>
    <xf numFmtId="0" fontId="0" fillId="6" borderId="49" xfId="0" applyFill="1" applyBorder="1" applyAlignment="1">
      <alignment horizontal="center" textRotation="255" wrapText="1"/>
    </xf>
    <xf numFmtId="0" fontId="0" fillId="6" borderId="31" xfId="0" applyFill="1" applyBorder="1" applyAlignment="1">
      <alignment horizontal="center" textRotation="255" wrapText="1"/>
    </xf>
    <xf numFmtId="0" fontId="0" fillId="6" borderId="30" xfId="0" applyFill="1" applyBorder="1" applyAlignment="1">
      <alignment horizontal="center" textRotation="255" wrapText="1"/>
    </xf>
    <xf numFmtId="0" fontId="49" fillId="0" borderId="31" xfId="0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0" fontId="52" fillId="0" borderId="31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9" fontId="0" fillId="12" borderId="51" xfId="0" applyNumberFormat="1" applyFill="1" applyBorder="1" applyAlignment="1">
      <alignment horizontal="center" vertical="center"/>
    </xf>
    <xf numFmtId="9" fontId="0" fillId="12" borderId="54" xfId="0" applyNumberFormat="1" applyFill="1" applyBorder="1" applyAlignment="1">
      <alignment horizontal="center" vertical="center"/>
    </xf>
    <xf numFmtId="9" fontId="0" fillId="6" borderId="51" xfId="0" applyNumberFormat="1" applyFill="1" applyBorder="1" applyAlignment="1">
      <alignment horizontal="center" vertical="center"/>
    </xf>
    <xf numFmtId="9" fontId="0" fillId="6" borderId="53" xfId="0" applyNumberFormat="1" applyFill="1" applyBorder="1" applyAlignment="1">
      <alignment horizontal="center" vertical="center"/>
    </xf>
    <xf numFmtId="9" fontId="0" fillId="6" borderId="54" xfId="0" applyNumberFormat="1" applyFill="1" applyBorder="1" applyAlignment="1">
      <alignment horizontal="center" vertical="center"/>
    </xf>
    <xf numFmtId="0" fontId="62" fillId="2" borderId="30" xfId="0" applyFont="1" applyFill="1" applyBorder="1" applyAlignment="1">
      <alignment horizontal="center" vertical="center" wrapText="1"/>
    </xf>
    <xf numFmtId="0" fontId="62" fillId="2" borderId="33" xfId="0" applyFont="1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54" xfId="0" applyFill="1" applyBorder="1" applyAlignment="1">
      <alignment horizontal="center" vertical="center" wrapText="1"/>
    </xf>
    <xf numFmtId="0" fontId="0" fillId="2" borderId="49" xfId="0" applyFill="1" applyBorder="1" applyAlignment="1">
      <alignment horizontal="center" wrapText="1"/>
    </xf>
    <xf numFmtId="0" fontId="0" fillId="2" borderId="31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51" xfId="0" applyFill="1" applyBorder="1" applyAlignment="1">
      <alignment horizontal="center" wrapText="1"/>
    </xf>
    <xf numFmtId="0" fontId="0" fillId="2" borderId="53" xfId="0" applyFill="1" applyBorder="1" applyAlignment="1">
      <alignment horizontal="center" wrapText="1"/>
    </xf>
    <xf numFmtId="0" fontId="0" fillId="2" borderId="54" xfId="0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" fontId="62" fillId="2" borderId="51" xfId="0" applyNumberFormat="1" applyFont="1" applyFill="1" applyBorder="1" applyAlignment="1">
      <alignment horizontal="center"/>
    </xf>
    <xf numFmtId="1" fontId="62" fillId="2" borderId="53" xfId="0" applyNumberFormat="1" applyFont="1" applyFill="1" applyBorder="1" applyAlignment="1">
      <alignment horizontal="center"/>
    </xf>
    <xf numFmtId="1" fontId="62" fillId="2" borderId="54" xfId="0" applyNumberFormat="1" applyFont="1" applyFill="1" applyBorder="1" applyAlignment="1">
      <alignment horizontal="center"/>
    </xf>
    <xf numFmtId="1" fontId="62" fillId="2" borderId="50" xfId="0" applyNumberFormat="1" applyFont="1" applyFill="1" applyBorder="1" applyAlignment="1">
      <alignment horizontal="center"/>
    </xf>
    <xf numFmtId="1" fontId="62" fillId="2" borderId="32" xfId="0" applyNumberFormat="1" applyFont="1" applyFill="1" applyBorder="1" applyAlignment="1">
      <alignment horizontal="center"/>
    </xf>
    <xf numFmtId="0" fontId="37" fillId="0" borderId="0" xfId="0" applyFont="1" applyAlignment="1">
      <alignment horizontal="center" wrapText="1"/>
    </xf>
    <xf numFmtId="0" fontId="37" fillId="0" borderId="0" xfId="0" applyFont="1" applyAlignment="1">
      <alignment horizontal="center"/>
    </xf>
    <xf numFmtId="0" fontId="37" fillId="0" borderId="44" xfId="0" applyFont="1" applyBorder="1" applyAlignment="1">
      <alignment horizontal="center"/>
    </xf>
    <xf numFmtId="0" fontId="49" fillId="0" borderId="2" xfId="0" applyFont="1" applyBorder="1" applyAlignment="1">
      <alignment horizontal="center"/>
    </xf>
    <xf numFmtId="0" fontId="49" fillId="0" borderId="3" xfId="0" applyFont="1" applyBorder="1" applyAlignment="1">
      <alignment horizontal="center"/>
    </xf>
    <xf numFmtId="0" fontId="49" fillId="0" borderId="44" xfId="0" applyFont="1" applyBorder="1" applyAlignment="1">
      <alignment horizontal="center"/>
    </xf>
    <xf numFmtId="0" fontId="49" fillId="0" borderId="4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69" fillId="0" borderId="33" xfId="0" applyFont="1" applyBorder="1" applyAlignment="1">
      <alignment horizontal="center"/>
    </xf>
    <xf numFmtId="166" fontId="2" fillId="0" borderId="0" xfId="0" applyNumberFormat="1" applyFont="1"/>
  </cellXfs>
  <cellStyles count="7">
    <cellStyle name="Hipervínculo" xfId="6" builtinId="8"/>
    <cellStyle name="Millares" xfId="4" builtinId="3"/>
    <cellStyle name="Millares 2" xfId="2"/>
    <cellStyle name="Moneda" xfId="5" builtinId="4"/>
    <cellStyle name="Moneda 2" xfId="3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RED%20CENTROS%20Y%20CLIENTES%20COLOMBINA.kmz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opLeftCell="C1" workbookViewId="0">
      <selection activeCell="J6" sqref="J6:J8"/>
    </sheetView>
  </sheetViews>
  <sheetFormatPr baseColWidth="10" defaultRowHeight="15" x14ac:dyDescent="0.25"/>
  <cols>
    <col min="1" max="1" width="0" style="1" hidden="1" customWidth="1"/>
    <col min="2" max="2" width="29.42578125" style="1" hidden="1" customWidth="1"/>
    <col min="3" max="3" width="11.42578125" style="1"/>
    <col min="4" max="4" width="36.7109375" style="1" bestFit="1" customWidth="1"/>
    <col min="5" max="5" width="15.140625" style="1" hidden="1" customWidth="1"/>
    <col min="6" max="6" width="17.140625" style="42" hidden="1" customWidth="1"/>
    <col min="7" max="7" width="16.7109375" style="1" hidden="1" customWidth="1"/>
    <col min="8" max="8" width="0" style="1" hidden="1" customWidth="1"/>
    <col min="9" max="9" width="12.28515625" style="1" hidden="1" customWidth="1"/>
    <col min="10" max="10" width="14.7109375" style="43" customWidth="1"/>
    <col min="11" max="11" width="13.140625" style="1" bestFit="1" customWidth="1"/>
    <col min="12" max="12" width="19.5703125" style="1" customWidth="1"/>
    <col min="13" max="15" width="11.42578125" style="1"/>
    <col min="16" max="16" width="11.42578125" style="74"/>
    <col min="17" max="16384" width="11.42578125" style="1"/>
  </cols>
  <sheetData>
    <row r="1" spans="1:16" s="2" customFormat="1" ht="15.75" thickBot="1" x14ac:dyDescent="0.3">
      <c r="F1" s="11"/>
      <c r="J1" s="12"/>
      <c r="P1" s="8"/>
    </row>
    <row r="2" spans="1:16" ht="16.5" thickBot="1" x14ac:dyDescent="0.3">
      <c r="C2" s="771" t="s">
        <v>30</v>
      </c>
      <c r="D2" s="772"/>
      <c r="E2" s="772"/>
      <c r="F2" s="772"/>
      <c r="G2" s="772"/>
      <c r="H2" s="772"/>
      <c r="I2" s="772"/>
      <c r="J2" s="773"/>
    </row>
    <row r="3" spans="1:16" ht="15.75" x14ac:dyDescent="0.25">
      <c r="C3" s="13"/>
      <c r="D3" s="13"/>
      <c r="E3" s="13"/>
      <c r="F3" s="14"/>
      <c r="G3" s="13"/>
      <c r="H3" s="13"/>
      <c r="I3" s="13"/>
      <c r="J3" s="15"/>
    </row>
    <row r="4" spans="1:16" s="18" customFormat="1" ht="38.25" x14ac:dyDescent="0.25">
      <c r="C4" s="16" t="s">
        <v>31</v>
      </c>
      <c r="D4" s="16" t="s">
        <v>2</v>
      </c>
      <c r="E4" s="16" t="s">
        <v>32</v>
      </c>
      <c r="F4" s="16" t="s">
        <v>33</v>
      </c>
      <c r="G4" s="16" t="s">
        <v>34</v>
      </c>
      <c r="H4" s="16" t="s">
        <v>35</v>
      </c>
      <c r="I4" s="16" t="s">
        <v>36</v>
      </c>
      <c r="J4" s="17" t="s">
        <v>37</v>
      </c>
      <c r="K4" s="69" t="s">
        <v>136</v>
      </c>
      <c r="L4" s="69" t="s">
        <v>133</v>
      </c>
      <c r="M4" s="69" t="s">
        <v>134</v>
      </c>
      <c r="N4" s="69" t="s">
        <v>135</v>
      </c>
      <c r="O4" s="69" t="s">
        <v>139</v>
      </c>
      <c r="P4" s="75" t="s">
        <v>138</v>
      </c>
    </row>
    <row r="5" spans="1:16" x14ac:dyDescent="0.25">
      <c r="C5" s="19"/>
      <c r="D5" s="19"/>
      <c r="E5" s="19"/>
      <c r="F5" s="20"/>
      <c r="G5" s="19"/>
      <c r="H5" s="19"/>
      <c r="I5" s="19"/>
      <c r="J5" s="21"/>
    </row>
    <row r="6" spans="1:16" s="62" customFormat="1" x14ac:dyDescent="0.25">
      <c r="A6" s="41">
        <v>100029</v>
      </c>
      <c r="B6" s="77" t="s">
        <v>89</v>
      </c>
      <c r="C6" s="10">
        <f>LOOKUP(D6,$B$7:$B$53,$A$7:$A$53)</f>
        <v>100038</v>
      </c>
      <c r="D6" s="35" t="s">
        <v>27</v>
      </c>
      <c r="E6" s="22"/>
      <c r="F6" s="27"/>
      <c r="G6" s="22" t="s">
        <v>97</v>
      </c>
      <c r="H6" s="24" t="s">
        <v>39</v>
      </c>
      <c r="I6" s="34" t="s">
        <v>103</v>
      </c>
      <c r="J6" s="32">
        <v>13260</v>
      </c>
      <c r="K6" s="70">
        <v>1166577</v>
      </c>
      <c r="L6" s="71">
        <f t="shared" ref="L6:L53" si="0">+J6*K6</f>
        <v>15468811020</v>
      </c>
      <c r="M6" s="72">
        <f t="shared" ref="M6:M53" si="1">+L6/$L$54</f>
        <v>0.12017371481057254</v>
      </c>
      <c r="N6" s="73">
        <f>+N5+M6</f>
        <v>0.12017371481057254</v>
      </c>
      <c r="P6" s="74">
        <f>IF(J6&lt;3500,0.5,0.4)</f>
        <v>0.4</v>
      </c>
    </row>
    <row r="7" spans="1:16" s="62" customFormat="1" x14ac:dyDescent="0.25">
      <c r="A7" s="76">
        <v>100028</v>
      </c>
      <c r="B7" s="78" t="s">
        <v>86</v>
      </c>
      <c r="C7" s="10">
        <f t="shared" ref="C7:C53" si="2">LOOKUP(D7,$B$7:$B$53,$A$7:$A$53)</f>
        <v>100001</v>
      </c>
      <c r="D7" s="22" t="s">
        <v>15</v>
      </c>
      <c r="E7" s="10"/>
      <c r="F7" s="23">
        <v>7702011012890</v>
      </c>
      <c r="G7" s="10" t="s">
        <v>38</v>
      </c>
      <c r="H7" s="24" t="s">
        <v>39</v>
      </c>
      <c r="I7" s="10" t="s">
        <v>40</v>
      </c>
      <c r="J7" s="25">
        <v>4910</v>
      </c>
      <c r="K7" s="70">
        <v>2034644.0632271534</v>
      </c>
      <c r="L7" s="71">
        <f t="shared" si="0"/>
        <v>9990102350.4453239</v>
      </c>
      <c r="M7" s="72">
        <f t="shared" si="1"/>
        <v>7.7610858988362424E-2</v>
      </c>
      <c r="N7" s="73">
        <f t="shared" ref="N7:N52" si="3">+N6+M7</f>
        <v>0.19778457379893497</v>
      </c>
      <c r="P7" s="74">
        <f t="shared" ref="P7:P53" si="4">IF(J7&lt;3500,0.5,0.4)</f>
        <v>0.4</v>
      </c>
    </row>
    <row r="8" spans="1:16" s="62" customFormat="1" x14ac:dyDescent="0.25">
      <c r="A8" s="53">
        <v>100030</v>
      </c>
      <c r="B8" s="31" t="s">
        <v>91</v>
      </c>
      <c r="C8" s="10">
        <f t="shared" si="2"/>
        <v>100002</v>
      </c>
      <c r="D8" s="22" t="s">
        <v>16</v>
      </c>
      <c r="E8" s="10"/>
      <c r="F8" s="26">
        <v>7702011011186</v>
      </c>
      <c r="G8" s="10" t="s">
        <v>38</v>
      </c>
      <c r="H8" s="24" t="s">
        <v>39</v>
      </c>
      <c r="I8" s="10" t="s">
        <v>40</v>
      </c>
      <c r="J8" s="25">
        <v>4910</v>
      </c>
      <c r="K8" s="70">
        <v>1429523.3455736162</v>
      </c>
      <c r="L8" s="71">
        <f t="shared" si="0"/>
        <v>7018959626.7664557</v>
      </c>
      <c r="M8" s="72">
        <f t="shared" si="1"/>
        <v>5.4528719199127863E-2</v>
      </c>
      <c r="N8" s="73">
        <f t="shared" si="3"/>
        <v>0.25231329299806282</v>
      </c>
      <c r="P8" s="74">
        <f t="shared" si="4"/>
        <v>0.4</v>
      </c>
    </row>
    <row r="9" spans="1:16" s="62" customFormat="1" x14ac:dyDescent="0.25">
      <c r="A9" s="53">
        <v>100026</v>
      </c>
      <c r="B9" s="31" t="s">
        <v>84</v>
      </c>
      <c r="C9" s="10">
        <f t="shared" si="2"/>
        <v>100034</v>
      </c>
      <c r="D9" s="35" t="s">
        <v>23</v>
      </c>
      <c r="E9" s="22"/>
      <c r="F9" s="27"/>
      <c r="G9" s="22" t="s">
        <v>97</v>
      </c>
      <c r="H9" s="24" t="s">
        <v>39</v>
      </c>
      <c r="I9" s="34" t="s">
        <v>99</v>
      </c>
      <c r="J9" s="32">
        <v>2170</v>
      </c>
      <c r="K9" s="70">
        <v>3203458</v>
      </c>
      <c r="L9" s="71">
        <f t="shared" si="0"/>
        <v>6951503860</v>
      </c>
      <c r="M9" s="72">
        <f t="shared" si="1"/>
        <v>5.4004670513857898E-2</v>
      </c>
      <c r="N9" s="73">
        <f t="shared" si="3"/>
        <v>0.3063179635119207</v>
      </c>
      <c r="P9" s="74">
        <f t="shared" si="4"/>
        <v>0.5</v>
      </c>
    </row>
    <row r="10" spans="1:16" s="62" customFormat="1" x14ac:dyDescent="0.25">
      <c r="A10" s="53">
        <v>100027</v>
      </c>
      <c r="B10" s="31" t="s">
        <v>85</v>
      </c>
      <c r="C10" s="10">
        <f t="shared" si="2"/>
        <v>100006</v>
      </c>
      <c r="D10" s="22" t="s">
        <v>42</v>
      </c>
      <c r="E10" s="10"/>
      <c r="F10" s="26">
        <v>7702011001764</v>
      </c>
      <c r="G10" s="10" t="s">
        <v>38</v>
      </c>
      <c r="H10" s="24" t="s">
        <v>39</v>
      </c>
      <c r="I10" s="10" t="s">
        <v>41</v>
      </c>
      <c r="J10" s="25">
        <v>10100</v>
      </c>
      <c r="K10" s="70">
        <v>664069.23414916161</v>
      </c>
      <c r="L10" s="71">
        <f t="shared" si="0"/>
        <v>6707099264.9065323</v>
      </c>
      <c r="M10" s="72">
        <f t="shared" si="1"/>
        <v>5.210594616644805E-2</v>
      </c>
      <c r="N10" s="73">
        <f t="shared" si="3"/>
        <v>0.35842390967836874</v>
      </c>
      <c r="P10" s="74">
        <f t="shared" si="4"/>
        <v>0.4</v>
      </c>
    </row>
    <row r="11" spans="1:16" s="62" customFormat="1" x14ac:dyDescent="0.25">
      <c r="A11" s="53">
        <v>100024</v>
      </c>
      <c r="B11" s="31" t="s">
        <v>80</v>
      </c>
      <c r="C11" s="10">
        <f t="shared" si="2"/>
        <v>100033</v>
      </c>
      <c r="D11" s="33" t="s">
        <v>22</v>
      </c>
      <c r="E11" s="22"/>
      <c r="F11" s="27"/>
      <c r="G11" s="22" t="s">
        <v>97</v>
      </c>
      <c r="H11" s="24" t="s">
        <v>39</v>
      </c>
      <c r="I11" s="34" t="s">
        <v>98</v>
      </c>
      <c r="J11" s="32">
        <v>1910</v>
      </c>
      <c r="K11" s="70">
        <v>3433579</v>
      </c>
      <c r="L11" s="71">
        <f t="shared" si="0"/>
        <v>6558135890</v>
      </c>
      <c r="M11" s="72">
        <f t="shared" si="1"/>
        <v>5.0948683199689149E-2</v>
      </c>
      <c r="N11" s="73">
        <f t="shared" si="3"/>
        <v>0.40937259287805788</v>
      </c>
      <c r="P11" s="74">
        <f t="shared" si="4"/>
        <v>0.5</v>
      </c>
    </row>
    <row r="12" spans="1:16" s="62" customFormat="1" x14ac:dyDescent="0.25">
      <c r="A12" s="53">
        <v>100025</v>
      </c>
      <c r="B12" s="31" t="s">
        <v>82</v>
      </c>
      <c r="C12" s="10">
        <f t="shared" si="2"/>
        <v>100005</v>
      </c>
      <c r="D12" s="22" t="s">
        <v>19</v>
      </c>
      <c r="E12" s="10"/>
      <c r="F12" s="63">
        <v>7002011001672</v>
      </c>
      <c r="G12" s="10" t="s">
        <v>38</v>
      </c>
      <c r="H12" s="24" t="s">
        <v>39</v>
      </c>
      <c r="I12" s="10" t="s">
        <v>41</v>
      </c>
      <c r="J12" s="25">
        <v>8550</v>
      </c>
      <c r="K12" s="70">
        <v>600239.35688640107</v>
      </c>
      <c r="L12" s="71">
        <f t="shared" si="0"/>
        <v>5132046501.3787289</v>
      </c>
      <c r="M12" s="72">
        <f t="shared" si="1"/>
        <v>3.9869715381090999E-2</v>
      </c>
      <c r="N12" s="73">
        <f t="shared" si="3"/>
        <v>0.4492423082591489</v>
      </c>
      <c r="P12" s="74">
        <f t="shared" si="4"/>
        <v>0.4</v>
      </c>
    </row>
    <row r="13" spans="1:16" s="62" customFormat="1" x14ac:dyDescent="0.25">
      <c r="A13" s="53">
        <v>100016</v>
      </c>
      <c r="B13" s="29" t="s">
        <v>65</v>
      </c>
      <c r="C13" s="10">
        <f t="shared" si="2"/>
        <v>100015</v>
      </c>
      <c r="D13" s="29" t="s">
        <v>62</v>
      </c>
      <c r="E13" s="10">
        <v>1</v>
      </c>
      <c r="F13" s="23">
        <v>7702011012401</v>
      </c>
      <c r="G13" s="10" t="s">
        <v>63</v>
      </c>
      <c r="H13" s="24" t="s">
        <v>39</v>
      </c>
      <c r="I13" s="24" t="s">
        <v>64</v>
      </c>
      <c r="J13" s="25">
        <v>2360</v>
      </c>
      <c r="K13" s="70">
        <v>2073811.4240145737</v>
      </c>
      <c r="L13" s="71">
        <f t="shared" si="0"/>
        <v>4894194960.6743937</v>
      </c>
      <c r="M13" s="72">
        <f t="shared" si="1"/>
        <v>3.8021900239843115E-2</v>
      </c>
      <c r="N13" s="73">
        <f t="shared" si="3"/>
        <v>0.48726420849899199</v>
      </c>
      <c r="P13" s="74">
        <f t="shared" si="4"/>
        <v>0.5</v>
      </c>
    </row>
    <row r="14" spans="1:16" s="62" customFormat="1" x14ac:dyDescent="0.25">
      <c r="A14" s="52">
        <v>100001</v>
      </c>
      <c r="B14" s="45" t="s">
        <v>15</v>
      </c>
      <c r="C14" s="10">
        <f t="shared" si="2"/>
        <v>100035</v>
      </c>
      <c r="D14" s="35" t="s">
        <v>24</v>
      </c>
      <c r="E14" s="22"/>
      <c r="F14" s="27"/>
      <c r="G14" s="22" t="s">
        <v>97</v>
      </c>
      <c r="H14" s="24" t="s">
        <v>39</v>
      </c>
      <c r="I14" s="34" t="s">
        <v>100</v>
      </c>
      <c r="J14" s="32">
        <v>1670</v>
      </c>
      <c r="K14" s="70">
        <v>2563686</v>
      </c>
      <c r="L14" s="71">
        <f t="shared" si="0"/>
        <v>4281355620</v>
      </c>
      <c r="M14" s="72">
        <f t="shared" si="1"/>
        <v>3.3260889192796017E-2</v>
      </c>
      <c r="N14" s="73">
        <f t="shared" si="3"/>
        <v>0.52052509769178801</v>
      </c>
      <c r="P14" s="74">
        <f t="shared" si="4"/>
        <v>0.5</v>
      </c>
    </row>
    <row r="15" spans="1:16" s="62" customFormat="1" x14ac:dyDescent="0.25">
      <c r="A15" s="52">
        <v>100002</v>
      </c>
      <c r="B15" s="45" t="s">
        <v>16</v>
      </c>
      <c r="C15" s="10">
        <f t="shared" si="2"/>
        <v>100018</v>
      </c>
      <c r="D15" s="29" t="s">
        <v>68</v>
      </c>
      <c r="E15" s="10">
        <v>1</v>
      </c>
      <c r="F15" s="26">
        <v>7702011013828</v>
      </c>
      <c r="G15" s="10" t="s">
        <v>63</v>
      </c>
      <c r="H15" s="24" t="s">
        <v>39</v>
      </c>
      <c r="I15" s="24" t="s">
        <v>69</v>
      </c>
      <c r="J15" s="25">
        <v>12330</v>
      </c>
      <c r="K15" s="70">
        <v>332805.53872241185</v>
      </c>
      <c r="L15" s="71">
        <f t="shared" si="0"/>
        <v>4103492292.4473381</v>
      </c>
      <c r="M15" s="72">
        <f t="shared" si="1"/>
        <v>3.187910899178785E-2</v>
      </c>
      <c r="N15" s="73">
        <f t="shared" si="3"/>
        <v>0.55240420668357582</v>
      </c>
      <c r="O15" s="62">
        <f>COUNT(N6:N15)</f>
        <v>10</v>
      </c>
      <c r="P15" s="74">
        <f t="shared" si="4"/>
        <v>0.4</v>
      </c>
    </row>
    <row r="16" spans="1:16" s="62" customFormat="1" x14ac:dyDescent="0.25">
      <c r="A16" s="53">
        <v>100019</v>
      </c>
      <c r="B16" s="29" t="s">
        <v>70</v>
      </c>
      <c r="C16" s="10">
        <f t="shared" si="2"/>
        <v>100004</v>
      </c>
      <c r="D16" s="22" t="s">
        <v>18</v>
      </c>
      <c r="E16" s="64"/>
      <c r="F16" s="63">
        <v>7002011001719</v>
      </c>
      <c r="G16" s="10" t="s">
        <v>38</v>
      </c>
      <c r="H16" s="24" t="s">
        <v>39</v>
      </c>
      <c r="I16" s="10" t="s">
        <v>41</v>
      </c>
      <c r="J16" s="25">
        <v>5130</v>
      </c>
      <c r="K16" s="70">
        <v>793427.38796618441</v>
      </c>
      <c r="L16" s="71">
        <f t="shared" si="0"/>
        <v>4070282500.2665262</v>
      </c>
      <c r="M16" s="72">
        <f t="shared" si="1"/>
        <v>3.1621109583216928E-2</v>
      </c>
      <c r="N16" s="73">
        <f t="shared" si="3"/>
        <v>0.58402531626679277</v>
      </c>
      <c r="P16" s="74">
        <f t="shared" si="4"/>
        <v>0.4</v>
      </c>
    </row>
    <row r="17" spans="1:16" s="62" customFormat="1" x14ac:dyDescent="0.25">
      <c r="A17" s="53">
        <v>100017</v>
      </c>
      <c r="B17" s="29" t="s">
        <v>66</v>
      </c>
      <c r="C17" s="10">
        <f t="shared" si="2"/>
        <v>100009</v>
      </c>
      <c r="D17" s="10" t="s">
        <v>50</v>
      </c>
      <c r="E17" s="10" t="s">
        <v>51</v>
      </c>
      <c r="F17" s="28"/>
      <c r="G17" s="10" t="s">
        <v>46</v>
      </c>
      <c r="H17" s="24" t="s">
        <v>39</v>
      </c>
      <c r="I17" s="24" t="s">
        <v>51</v>
      </c>
      <c r="J17" s="25">
        <v>2240</v>
      </c>
      <c r="K17" s="70">
        <v>1317964.5527115043</v>
      </c>
      <c r="L17" s="71">
        <f t="shared" si="0"/>
        <v>2952240598.0737696</v>
      </c>
      <c r="M17" s="72">
        <f t="shared" si="1"/>
        <v>2.2935293425357994E-2</v>
      </c>
      <c r="N17" s="73">
        <f t="shared" si="3"/>
        <v>0.60696060969215071</v>
      </c>
      <c r="P17" s="74">
        <f t="shared" si="4"/>
        <v>0.5</v>
      </c>
    </row>
    <row r="18" spans="1:16" s="62" customFormat="1" x14ac:dyDescent="0.25">
      <c r="A18" s="53">
        <v>100018</v>
      </c>
      <c r="B18" s="29" t="s">
        <v>68</v>
      </c>
      <c r="C18" s="10">
        <f t="shared" si="2"/>
        <v>100003</v>
      </c>
      <c r="D18" s="22" t="s">
        <v>17</v>
      </c>
      <c r="E18" s="10"/>
      <c r="F18" s="26">
        <v>7702354008604</v>
      </c>
      <c r="G18" s="10" t="s">
        <v>38</v>
      </c>
      <c r="H18" s="24" t="s">
        <v>39</v>
      </c>
      <c r="I18" s="10" t="s">
        <v>40</v>
      </c>
      <c r="J18" s="25">
        <v>6000</v>
      </c>
      <c r="K18" s="70">
        <v>416668.94440097472</v>
      </c>
      <c r="L18" s="71">
        <f t="shared" si="0"/>
        <v>2500013666.4058485</v>
      </c>
      <c r="M18" s="72">
        <f t="shared" si="1"/>
        <v>1.9422044071826166E-2</v>
      </c>
      <c r="N18" s="73">
        <f t="shared" si="3"/>
        <v>0.62638265376397684</v>
      </c>
      <c r="P18" s="74">
        <f t="shared" si="4"/>
        <v>0.4</v>
      </c>
    </row>
    <row r="19" spans="1:16" s="62" customFormat="1" x14ac:dyDescent="0.25">
      <c r="A19" s="52">
        <v>100037</v>
      </c>
      <c r="B19" s="35" t="s">
        <v>26</v>
      </c>
      <c r="C19" s="10">
        <f t="shared" si="2"/>
        <v>100010</v>
      </c>
      <c r="D19" s="10" t="s">
        <v>52</v>
      </c>
      <c r="E19" s="10"/>
      <c r="F19" s="28"/>
      <c r="G19" s="10" t="s">
        <v>46</v>
      </c>
      <c r="H19" s="24" t="s">
        <v>39</v>
      </c>
      <c r="I19" s="24"/>
      <c r="J19" s="25">
        <v>2300</v>
      </c>
      <c r="K19" s="70">
        <v>1077866.7913886481</v>
      </c>
      <c r="L19" s="71">
        <f t="shared" si="0"/>
        <v>2479093620.1938906</v>
      </c>
      <c r="M19" s="72">
        <f t="shared" si="1"/>
        <v>1.9259520936463704E-2</v>
      </c>
      <c r="N19" s="73">
        <f t="shared" si="3"/>
        <v>0.6456421747004405</v>
      </c>
      <c r="P19" s="74">
        <f t="shared" si="4"/>
        <v>0.5</v>
      </c>
    </row>
    <row r="20" spans="1:16" s="62" customFormat="1" x14ac:dyDescent="0.25">
      <c r="A20" s="53">
        <v>100014</v>
      </c>
      <c r="B20" s="10" t="s">
        <v>59</v>
      </c>
      <c r="C20" s="10">
        <f t="shared" si="2"/>
        <v>100016</v>
      </c>
      <c r="D20" s="29" t="s">
        <v>65</v>
      </c>
      <c r="E20" s="10">
        <v>1</v>
      </c>
      <c r="F20" s="28"/>
      <c r="G20" s="10" t="s">
        <v>63</v>
      </c>
      <c r="H20" s="24" t="s">
        <v>39</v>
      </c>
      <c r="I20" s="24"/>
      <c r="J20" s="25">
        <v>5000</v>
      </c>
      <c r="K20" s="70">
        <v>484191.47279980168</v>
      </c>
      <c r="L20" s="71">
        <f t="shared" si="0"/>
        <v>2420957363.9990082</v>
      </c>
      <c r="M20" s="72">
        <f t="shared" si="1"/>
        <v>1.8807873433427741E-2</v>
      </c>
      <c r="N20" s="73">
        <f t="shared" si="3"/>
        <v>0.66445004813386821</v>
      </c>
      <c r="P20" s="74">
        <f t="shared" si="4"/>
        <v>0.4</v>
      </c>
    </row>
    <row r="21" spans="1:16" s="62" customFormat="1" x14ac:dyDescent="0.25">
      <c r="A21" s="52">
        <v>100004</v>
      </c>
      <c r="B21" s="45" t="s">
        <v>18</v>
      </c>
      <c r="C21" s="10">
        <f t="shared" si="2"/>
        <v>100026</v>
      </c>
      <c r="D21" s="31" t="s">
        <v>84</v>
      </c>
      <c r="E21" s="10" t="s">
        <v>81</v>
      </c>
      <c r="F21" s="26">
        <v>770236000015</v>
      </c>
      <c r="G21" s="10" t="s">
        <v>75</v>
      </c>
      <c r="H21" s="24" t="s">
        <v>39</v>
      </c>
      <c r="I21" s="10"/>
      <c r="J21" s="25">
        <v>3000</v>
      </c>
      <c r="K21" s="70">
        <v>780000</v>
      </c>
      <c r="L21" s="71">
        <f t="shared" si="0"/>
        <v>2340000000</v>
      </c>
      <c r="M21" s="72">
        <f t="shared" si="1"/>
        <v>1.8178933874953999E-2</v>
      </c>
      <c r="N21" s="73">
        <f t="shared" si="3"/>
        <v>0.68262898200882216</v>
      </c>
      <c r="P21" s="74">
        <f t="shared" si="4"/>
        <v>0.5</v>
      </c>
    </row>
    <row r="22" spans="1:16" s="62" customFormat="1" x14ac:dyDescent="0.25">
      <c r="A22" s="52">
        <v>100006</v>
      </c>
      <c r="B22" s="45" t="s">
        <v>42</v>
      </c>
      <c r="C22" s="10">
        <f t="shared" si="2"/>
        <v>100042</v>
      </c>
      <c r="D22" s="35" t="s">
        <v>106</v>
      </c>
      <c r="E22" s="36" t="s">
        <v>107</v>
      </c>
      <c r="F22" s="37">
        <v>702097032751</v>
      </c>
      <c r="G22" s="22" t="s">
        <v>108</v>
      </c>
      <c r="H22" s="24" t="s">
        <v>39</v>
      </c>
      <c r="I22" s="38" t="s">
        <v>109</v>
      </c>
      <c r="J22" s="39">
        <v>3440</v>
      </c>
      <c r="K22" s="70">
        <v>661403.58262823836</v>
      </c>
      <c r="L22" s="71">
        <f t="shared" si="0"/>
        <v>2275228324.2411399</v>
      </c>
      <c r="M22" s="72">
        <f t="shared" si="1"/>
        <v>1.767573728923166E-2</v>
      </c>
      <c r="N22" s="73">
        <f t="shared" si="3"/>
        <v>0.70030471929805382</v>
      </c>
      <c r="P22" s="74">
        <f t="shared" si="4"/>
        <v>0.5</v>
      </c>
    </row>
    <row r="23" spans="1:16" s="62" customFormat="1" x14ac:dyDescent="0.25">
      <c r="A23" s="52">
        <v>100005</v>
      </c>
      <c r="B23" s="45" t="s">
        <v>19</v>
      </c>
      <c r="C23" s="10">
        <f t="shared" si="2"/>
        <v>100040</v>
      </c>
      <c r="D23" s="35" t="s">
        <v>29</v>
      </c>
      <c r="E23" s="22"/>
      <c r="F23" s="27"/>
      <c r="G23" s="22" t="s">
        <v>97</v>
      </c>
      <c r="H23" s="24" t="s">
        <v>39</v>
      </c>
      <c r="I23" s="34" t="s">
        <v>105</v>
      </c>
      <c r="J23" s="32">
        <v>3800</v>
      </c>
      <c r="K23" s="70">
        <v>584575</v>
      </c>
      <c r="L23" s="71">
        <f t="shared" si="0"/>
        <v>2221385000</v>
      </c>
      <c r="M23" s="72">
        <f t="shared" si="1"/>
        <v>1.7257440609322518E-2</v>
      </c>
      <c r="N23" s="73">
        <f t="shared" si="3"/>
        <v>0.71756215990737637</v>
      </c>
      <c r="P23" s="74">
        <f t="shared" si="4"/>
        <v>0.4</v>
      </c>
    </row>
    <row r="24" spans="1:16" s="62" customFormat="1" x14ac:dyDescent="0.25">
      <c r="A24" s="53">
        <v>100020</v>
      </c>
      <c r="B24" s="29" t="s">
        <v>72</v>
      </c>
      <c r="C24" s="10">
        <f t="shared" si="2"/>
        <v>100019</v>
      </c>
      <c r="D24" s="29" t="s">
        <v>70</v>
      </c>
      <c r="E24" s="10">
        <v>1</v>
      </c>
      <c r="F24" s="26">
        <v>7707211630912</v>
      </c>
      <c r="G24" s="10" t="s">
        <v>63</v>
      </c>
      <c r="H24" s="24" t="s">
        <v>39</v>
      </c>
      <c r="I24" s="24" t="s">
        <v>71</v>
      </c>
      <c r="J24" s="25">
        <v>7480</v>
      </c>
      <c r="K24" s="70">
        <v>291813.63700172456</v>
      </c>
      <c r="L24" s="71">
        <f t="shared" si="0"/>
        <v>2182766004.7728996</v>
      </c>
      <c r="M24" s="72">
        <f t="shared" si="1"/>
        <v>1.6957418318488918E-2</v>
      </c>
      <c r="N24" s="73">
        <f t="shared" si="3"/>
        <v>0.73451957822586533</v>
      </c>
      <c r="P24" s="74">
        <f t="shared" si="4"/>
        <v>0.4</v>
      </c>
    </row>
    <row r="25" spans="1:16" s="62" customFormat="1" x14ac:dyDescent="0.25">
      <c r="A25" s="52">
        <v>100036</v>
      </c>
      <c r="B25" s="35" t="s">
        <v>25</v>
      </c>
      <c r="C25" s="10">
        <f t="shared" si="2"/>
        <v>100013</v>
      </c>
      <c r="D25" s="10" t="s">
        <v>57</v>
      </c>
      <c r="E25" s="10" t="s">
        <v>56</v>
      </c>
      <c r="F25" s="27" t="s">
        <v>58</v>
      </c>
      <c r="G25" s="10" t="s">
        <v>46</v>
      </c>
      <c r="H25" s="24" t="s">
        <v>39</v>
      </c>
      <c r="I25" s="24" t="s">
        <v>56</v>
      </c>
      <c r="J25" s="25">
        <v>2710</v>
      </c>
      <c r="K25" s="70">
        <v>797923.16127682303</v>
      </c>
      <c r="L25" s="71">
        <f t="shared" si="0"/>
        <v>2162371767.0601902</v>
      </c>
      <c r="M25" s="72">
        <f t="shared" si="1"/>
        <v>1.6798980071134458E-2</v>
      </c>
      <c r="N25" s="73">
        <f t="shared" si="3"/>
        <v>0.75131855829699978</v>
      </c>
      <c r="O25" s="62">
        <f>COUNT(N16:N25)</f>
        <v>10</v>
      </c>
      <c r="P25" s="74">
        <f t="shared" si="4"/>
        <v>0.5</v>
      </c>
    </row>
    <row r="26" spans="1:16" s="62" customFormat="1" x14ac:dyDescent="0.25">
      <c r="A26" s="53">
        <v>100031</v>
      </c>
      <c r="B26" s="31" t="s">
        <v>93</v>
      </c>
      <c r="C26" s="10">
        <f t="shared" si="2"/>
        <v>100037</v>
      </c>
      <c r="D26" s="35" t="s">
        <v>26</v>
      </c>
      <c r="E26" s="22"/>
      <c r="F26" s="27"/>
      <c r="G26" s="22" t="s">
        <v>97</v>
      </c>
      <c r="H26" s="24" t="s">
        <v>39</v>
      </c>
      <c r="I26" s="34" t="s">
        <v>102</v>
      </c>
      <c r="J26" s="32">
        <v>1430</v>
      </c>
      <c r="K26" s="70">
        <v>1400758</v>
      </c>
      <c r="L26" s="71">
        <f t="shared" si="0"/>
        <v>2003083940</v>
      </c>
      <c r="M26" s="72">
        <f t="shared" si="1"/>
        <v>1.5561508756941164E-2</v>
      </c>
      <c r="N26" s="73">
        <f t="shared" si="3"/>
        <v>0.76688006705394096</v>
      </c>
      <c r="P26" s="74">
        <f t="shared" si="4"/>
        <v>0.5</v>
      </c>
    </row>
    <row r="27" spans="1:16" s="62" customFormat="1" x14ac:dyDescent="0.25">
      <c r="A27" s="53">
        <v>100032</v>
      </c>
      <c r="B27" s="31" t="s">
        <v>95</v>
      </c>
      <c r="C27" s="10">
        <f t="shared" si="2"/>
        <v>100007</v>
      </c>
      <c r="D27" s="10" t="s">
        <v>43</v>
      </c>
      <c r="E27" s="10" t="s">
        <v>44</v>
      </c>
      <c r="F27" s="27" t="s">
        <v>45</v>
      </c>
      <c r="G27" s="10" t="s">
        <v>46</v>
      </c>
      <c r="H27" s="24" t="s">
        <v>39</v>
      </c>
      <c r="I27" s="24" t="s">
        <v>44</v>
      </c>
      <c r="J27" s="25">
        <v>2340</v>
      </c>
      <c r="K27" s="70">
        <v>786574.54879756633</v>
      </c>
      <c r="L27" s="71">
        <f t="shared" si="0"/>
        <v>1840584444.1863053</v>
      </c>
      <c r="M27" s="72">
        <f t="shared" si="1"/>
        <v>1.4299086710312736E-2</v>
      </c>
      <c r="N27" s="73">
        <f t="shared" si="3"/>
        <v>0.78117915376425373</v>
      </c>
      <c r="P27" s="74">
        <f t="shared" si="4"/>
        <v>0.5</v>
      </c>
    </row>
    <row r="28" spans="1:16" s="62" customFormat="1" x14ac:dyDescent="0.25">
      <c r="A28" s="53">
        <v>100045</v>
      </c>
      <c r="B28" s="35" t="s">
        <v>116</v>
      </c>
      <c r="C28" s="10">
        <f t="shared" si="2"/>
        <v>100039</v>
      </c>
      <c r="D28" s="35" t="s">
        <v>28</v>
      </c>
      <c r="E28" s="22"/>
      <c r="F28" s="27"/>
      <c r="G28" s="22" t="s">
        <v>97</v>
      </c>
      <c r="H28" s="24" t="s">
        <v>39</v>
      </c>
      <c r="I28" s="34" t="s">
        <v>104</v>
      </c>
      <c r="J28" s="32">
        <v>2840</v>
      </c>
      <c r="K28" s="70">
        <v>648023</v>
      </c>
      <c r="L28" s="71">
        <f t="shared" si="0"/>
        <v>1840385320</v>
      </c>
      <c r="M28" s="72">
        <f t="shared" si="1"/>
        <v>1.4297539759280366E-2</v>
      </c>
      <c r="N28" s="73">
        <f t="shared" si="3"/>
        <v>0.79547669352353412</v>
      </c>
      <c r="P28" s="74">
        <f t="shared" si="4"/>
        <v>0.5</v>
      </c>
    </row>
    <row r="29" spans="1:16" s="62" customFormat="1" x14ac:dyDescent="0.25">
      <c r="A29" s="53">
        <v>100046</v>
      </c>
      <c r="B29" s="35" t="s">
        <v>118</v>
      </c>
      <c r="C29" s="10">
        <f t="shared" si="2"/>
        <v>100023</v>
      </c>
      <c r="D29" s="22" t="s">
        <v>78</v>
      </c>
      <c r="E29" s="10" t="s">
        <v>79</v>
      </c>
      <c r="F29" s="26">
        <v>722008000317</v>
      </c>
      <c r="G29" s="10" t="s">
        <v>75</v>
      </c>
      <c r="H29" s="24" t="s">
        <v>39</v>
      </c>
      <c r="I29" s="10"/>
      <c r="J29" s="25">
        <v>3800</v>
      </c>
      <c r="K29" s="70">
        <v>480000</v>
      </c>
      <c r="L29" s="71">
        <f t="shared" si="0"/>
        <v>1824000000</v>
      </c>
      <c r="M29" s="72">
        <f t="shared" si="1"/>
        <v>1.4170245892271836E-2</v>
      </c>
      <c r="N29" s="73">
        <f t="shared" si="3"/>
        <v>0.8096469394158059</v>
      </c>
      <c r="P29" s="74">
        <f t="shared" si="4"/>
        <v>0.4</v>
      </c>
    </row>
    <row r="30" spans="1:16" s="62" customFormat="1" x14ac:dyDescent="0.25">
      <c r="A30" s="53">
        <v>100010</v>
      </c>
      <c r="B30" s="10" t="s">
        <v>52</v>
      </c>
      <c r="C30" s="10">
        <f t="shared" si="2"/>
        <v>100024</v>
      </c>
      <c r="D30" s="31" t="s">
        <v>80</v>
      </c>
      <c r="E30" s="10" t="s">
        <v>81</v>
      </c>
      <c r="F30" s="26">
        <v>7702367000022</v>
      </c>
      <c r="G30" s="10" t="s">
        <v>75</v>
      </c>
      <c r="H30" s="24" t="s">
        <v>39</v>
      </c>
      <c r="I30" s="10"/>
      <c r="J30" s="25">
        <v>2300</v>
      </c>
      <c r="K30" s="70">
        <v>720000</v>
      </c>
      <c r="L30" s="71">
        <f t="shared" si="0"/>
        <v>1656000000</v>
      </c>
      <c r="M30" s="72">
        <f t="shared" si="1"/>
        <v>1.2865091665352062E-2</v>
      </c>
      <c r="N30" s="73">
        <f t="shared" si="3"/>
        <v>0.822512031081158</v>
      </c>
      <c r="P30" s="74">
        <f t="shared" si="4"/>
        <v>0.5</v>
      </c>
    </row>
    <row r="31" spans="1:16" s="62" customFormat="1" x14ac:dyDescent="0.25">
      <c r="A31" s="53">
        <v>100015</v>
      </c>
      <c r="B31" s="29" t="s">
        <v>62</v>
      </c>
      <c r="C31" s="10">
        <f t="shared" si="2"/>
        <v>100042</v>
      </c>
      <c r="D31" s="35" t="s">
        <v>106</v>
      </c>
      <c r="E31" s="36" t="s">
        <v>110</v>
      </c>
      <c r="F31" s="37">
        <v>702097035424</v>
      </c>
      <c r="G31" s="22" t="s">
        <v>108</v>
      </c>
      <c r="H31" s="24" t="s">
        <v>39</v>
      </c>
      <c r="I31" s="38" t="s">
        <v>111</v>
      </c>
      <c r="J31" s="39">
        <v>2060</v>
      </c>
      <c r="K31" s="70">
        <v>776139.65801918798</v>
      </c>
      <c r="L31" s="71">
        <f t="shared" si="0"/>
        <v>1598847695.5195272</v>
      </c>
      <c r="M31" s="72">
        <f t="shared" si="1"/>
        <v>1.2421088261953877E-2</v>
      </c>
      <c r="N31" s="73">
        <f t="shared" si="3"/>
        <v>0.83493311934311187</v>
      </c>
      <c r="P31" s="74">
        <f t="shared" si="4"/>
        <v>0.5</v>
      </c>
    </row>
    <row r="32" spans="1:16" s="62" customFormat="1" x14ac:dyDescent="0.25">
      <c r="A32" s="52">
        <v>100033</v>
      </c>
      <c r="B32" s="33" t="s">
        <v>22</v>
      </c>
      <c r="C32" s="10">
        <f t="shared" si="2"/>
        <v>100025</v>
      </c>
      <c r="D32" s="31" t="s">
        <v>82</v>
      </c>
      <c r="E32" s="10" t="s">
        <v>83</v>
      </c>
      <c r="F32" s="26">
        <v>7702367000763</v>
      </c>
      <c r="G32" s="10" t="s">
        <v>75</v>
      </c>
      <c r="H32" s="24" t="s">
        <v>39</v>
      </c>
      <c r="I32" s="10"/>
      <c r="J32" s="25">
        <v>3900</v>
      </c>
      <c r="K32" s="70">
        <v>360000</v>
      </c>
      <c r="L32" s="71">
        <f t="shared" si="0"/>
        <v>1404000000</v>
      </c>
      <c r="M32" s="72">
        <f t="shared" si="1"/>
        <v>1.0907360324972399E-2</v>
      </c>
      <c r="N32" s="73">
        <f t="shared" si="3"/>
        <v>0.84584047966808429</v>
      </c>
      <c r="P32" s="74">
        <f t="shared" si="4"/>
        <v>0.4</v>
      </c>
    </row>
    <row r="33" spans="1:16" s="62" customFormat="1" x14ac:dyDescent="0.25">
      <c r="A33" s="52">
        <v>100034</v>
      </c>
      <c r="B33" s="35" t="s">
        <v>23</v>
      </c>
      <c r="C33" s="10">
        <f t="shared" si="2"/>
        <v>100044</v>
      </c>
      <c r="D33" s="35" t="s">
        <v>113</v>
      </c>
      <c r="E33" s="36" t="s">
        <v>114</v>
      </c>
      <c r="F33" s="37">
        <v>7020970370572</v>
      </c>
      <c r="G33" s="22" t="s">
        <v>108</v>
      </c>
      <c r="H33" s="24" t="s">
        <v>39</v>
      </c>
      <c r="I33" s="38" t="s">
        <v>115</v>
      </c>
      <c r="J33" s="39">
        <v>4140</v>
      </c>
      <c r="K33" s="70">
        <v>326451.12561599445</v>
      </c>
      <c r="L33" s="71">
        <f t="shared" si="0"/>
        <v>1351507660.0502169</v>
      </c>
      <c r="M33" s="72">
        <f t="shared" si="1"/>
        <v>1.0499559138267821E-2</v>
      </c>
      <c r="N33" s="73">
        <f t="shared" si="3"/>
        <v>0.85634003880635212</v>
      </c>
      <c r="P33" s="74">
        <f t="shared" si="4"/>
        <v>0.4</v>
      </c>
    </row>
    <row r="34" spans="1:16" s="62" customFormat="1" x14ac:dyDescent="0.25">
      <c r="A34" s="53">
        <v>100011</v>
      </c>
      <c r="B34" s="10" t="s">
        <v>53</v>
      </c>
      <c r="C34" s="10">
        <f t="shared" si="2"/>
        <v>100036</v>
      </c>
      <c r="D34" s="35" t="s">
        <v>25</v>
      </c>
      <c r="E34" s="22"/>
      <c r="F34" s="27"/>
      <c r="G34" s="22" t="s">
        <v>97</v>
      </c>
      <c r="H34" s="24" t="s">
        <v>39</v>
      </c>
      <c r="I34" s="34" t="s">
        <v>101</v>
      </c>
      <c r="J34" s="32">
        <v>1020</v>
      </c>
      <c r="K34" s="70">
        <v>1266286</v>
      </c>
      <c r="L34" s="71">
        <f t="shared" si="0"/>
        <v>1291611720</v>
      </c>
      <c r="M34" s="72">
        <f t="shared" si="1"/>
        <v>1.0034241047006667E-2</v>
      </c>
      <c r="N34" s="73">
        <f t="shared" si="3"/>
        <v>0.8663742798533588</v>
      </c>
      <c r="P34" s="74">
        <f t="shared" si="4"/>
        <v>0.5</v>
      </c>
    </row>
    <row r="35" spans="1:16" s="62" customFormat="1" x14ac:dyDescent="0.25">
      <c r="A35" s="53">
        <v>100012</v>
      </c>
      <c r="B35" s="10" t="s">
        <v>55</v>
      </c>
      <c r="C35" s="10">
        <f t="shared" si="2"/>
        <v>100048</v>
      </c>
      <c r="D35" s="35" t="s">
        <v>122</v>
      </c>
      <c r="E35" s="36" t="s">
        <v>123</v>
      </c>
      <c r="F35" s="37">
        <v>702097035103</v>
      </c>
      <c r="G35" s="22" t="s">
        <v>108</v>
      </c>
      <c r="H35" s="24" t="s">
        <v>39</v>
      </c>
      <c r="I35" s="40" t="s">
        <v>124</v>
      </c>
      <c r="J35" s="39">
        <v>5560</v>
      </c>
      <c r="K35" s="70">
        <v>227835.68141949596</v>
      </c>
      <c r="L35" s="71">
        <f t="shared" si="0"/>
        <v>1266766388.6923976</v>
      </c>
      <c r="M35" s="72">
        <f t="shared" si="1"/>
        <v>9.8412232542963128E-3</v>
      </c>
      <c r="N35" s="73">
        <f t="shared" si="3"/>
        <v>0.87621550310765506</v>
      </c>
      <c r="P35" s="74">
        <f t="shared" si="4"/>
        <v>0.4</v>
      </c>
    </row>
    <row r="36" spans="1:16" s="62" customFormat="1" x14ac:dyDescent="0.25">
      <c r="A36" s="52">
        <v>100003</v>
      </c>
      <c r="B36" s="45" t="s">
        <v>17</v>
      </c>
      <c r="C36" s="10">
        <f t="shared" si="2"/>
        <v>100017</v>
      </c>
      <c r="D36" s="29" t="s">
        <v>66</v>
      </c>
      <c r="E36" s="10">
        <v>1</v>
      </c>
      <c r="F36" s="26">
        <v>7702011039293</v>
      </c>
      <c r="G36" s="10" t="s">
        <v>63</v>
      </c>
      <c r="H36" s="24" t="s">
        <v>39</v>
      </c>
      <c r="I36" s="24" t="s">
        <v>67</v>
      </c>
      <c r="J36" s="25">
        <v>3590</v>
      </c>
      <c r="K36" s="70">
        <v>349039.95524545637</v>
      </c>
      <c r="L36" s="71">
        <f t="shared" si="0"/>
        <v>1253053439.3311884</v>
      </c>
      <c r="M36" s="72">
        <f t="shared" si="1"/>
        <v>9.7346904339253668E-3</v>
      </c>
      <c r="N36" s="73">
        <f t="shared" si="3"/>
        <v>0.88595019354158044</v>
      </c>
      <c r="P36" s="74">
        <f t="shared" si="4"/>
        <v>0.4</v>
      </c>
    </row>
    <row r="37" spans="1:16" s="62" customFormat="1" x14ac:dyDescent="0.25">
      <c r="A37" s="53">
        <v>100013</v>
      </c>
      <c r="B37" s="10" t="s">
        <v>57</v>
      </c>
      <c r="C37" s="10">
        <f t="shared" si="2"/>
        <v>100027</v>
      </c>
      <c r="D37" s="31" t="s">
        <v>85</v>
      </c>
      <c r="E37" s="10" t="s">
        <v>83</v>
      </c>
      <c r="F37" s="28"/>
      <c r="G37" s="10" t="s">
        <v>75</v>
      </c>
      <c r="H37" s="24" t="s">
        <v>39</v>
      </c>
      <c r="I37" s="10"/>
      <c r="J37" s="25">
        <v>4100</v>
      </c>
      <c r="K37" s="70">
        <v>300000</v>
      </c>
      <c r="L37" s="71">
        <f t="shared" si="0"/>
        <v>1230000000</v>
      </c>
      <c r="M37" s="72">
        <f t="shared" si="1"/>
        <v>9.5555934470912055E-3</v>
      </c>
      <c r="N37" s="73">
        <f t="shared" si="3"/>
        <v>0.89550578698867167</v>
      </c>
      <c r="P37" s="74">
        <f t="shared" si="4"/>
        <v>0.4</v>
      </c>
    </row>
    <row r="38" spans="1:16" s="62" customFormat="1" x14ac:dyDescent="0.25">
      <c r="A38" s="52">
        <v>100039</v>
      </c>
      <c r="B38" s="35" t="s">
        <v>28</v>
      </c>
      <c r="C38" s="10">
        <f t="shared" si="2"/>
        <v>100014</v>
      </c>
      <c r="D38" s="10" t="s">
        <v>59</v>
      </c>
      <c r="E38" s="10" t="s">
        <v>60</v>
      </c>
      <c r="F38" s="27" t="s">
        <v>61</v>
      </c>
      <c r="G38" s="10" t="s">
        <v>46</v>
      </c>
      <c r="H38" s="24" t="s">
        <v>39</v>
      </c>
      <c r="I38" s="24" t="s">
        <v>60</v>
      </c>
      <c r="J38" s="25">
        <v>1480</v>
      </c>
      <c r="K38" s="70">
        <v>786188.99714039837</v>
      </c>
      <c r="L38" s="71">
        <f t="shared" si="0"/>
        <v>1163559715.7677896</v>
      </c>
      <c r="M38" s="72">
        <f t="shared" si="1"/>
        <v>9.0394338173089388E-3</v>
      </c>
      <c r="N38" s="73">
        <f t="shared" si="3"/>
        <v>0.90454522080598065</v>
      </c>
      <c r="P38" s="74">
        <f t="shared" si="4"/>
        <v>0.5</v>
      </c>
    </row>
    <row r="39" spans="1:16" s="62" customFormat="1" x14ac:dyDescent="0.25">
      <c r="A39" s="52">
        <v>100038</v>
      </c>
      <c r="B39" s="35" t="s">
        <v>27</v>
      </c>
      <c r="C39" s="10">
        <f t="shared" si="2"/>
        <v>100043</v>
      </c>
      <c r="D39" s="35" t="s">
        <v>112</v>
      </c>
      <c r="E39" s="36" t="s">
        <v>110</v>
      </c>
      <c r="F39" s="37">
        <v>702097038807</v>
      </c>
      <c r="G39" s="22" t="s">
        <v>108</v>
      </c>
      <c r="H39" s="24" t="s">
        <v>39</v>
      </c>
      <c r="I39" s="38" t="s">
        <v>111</v>
      </c>
      <c r="J39" s="39">
        <v>2810</v>
      </c>
      <c r="K39" s="70">
        <v>399562.57562374289</v>
      </c>
      <c r="L39" s="71">
        <f t="shared" si="0"/>
        <v>1122770837.5027175</v>
      </c>
      <c r="M39" s="72">
        <f t="shared" si="1"/>
        <v>8.7225541930293273E-3</v>
      </c>
      <c r="N39" s="73">
        <f t="shared" si="3"/>
        <v>0.91326777499901002</v>
      </c>
      <c r="P39" s="74">
        <f t="shared" si="4"/>
        <v>0.5</v>
      </c>
    </row>
    <row r="40" spans="1:16" s="62" customFormat="1" x14ac:dyDescent="0.25">
      <c r="A40" s="53">
        <v>100041</v>
      </c>
      <c r="B40" s="35" t="s">
        <v>106</v>
      </c>
      <c r="C40" s="10">
        <f t="shared" si="2"/>
        <v>100022</v>
      </c>
      <c r="D40" s="22" t="s">
        <v>76</v>
      </c>
      <c r="E40" s="10" t="s">
        <v>77</v>
      </c>
      <c r="F40" s="28"/>
      <c r="G40" s="10" t="s">
        <v>75</v>
      </c>
      <c r="H40" s="24" t="s">
        <v>39</v>
      </c>
      <c r="I40" s="10"/>
      <c r="J40" s="25">
        <v>3000</v>
      </c>
      <c r="K40" s="70">
        <v>360000</v>
      </c>
      <c r="L40" s="71">
        <f t="shared" si="0"/>
        <v>1080000000</v>
      </c>
      <c r="M40" s="72">
        <f t="shared" si="1"/>
        <v>8.3902771730556928E-3</v>
      </c>
      <c r="N40" s="73">
        <f t="shared" si="3"/>
        <v>0.92165805217206576</v>
      </c>
      <c r="P40" s="74">
        <f t="shared" si="4"/>
        <v>0.5</v>
      </c>
    </row>
    <row r="41" spans="1:16" s="62" customFormat="1" x14ac:dyDescent="0.25">
      <c r="A41" s="53">
        <v>100042</v>
      </c>
      <c r="B41" s="35" t="s">
        <v>106</v>
      </c>
      <c r="C41" s="10">
        <f t="shared" si="2"/>
        <v>100021</v>
      </c>
      <c r="D41" s="22" t="s">
        <v>73</v>
      </c>
      <c r="E41" s="10" t="s">
        <v>74</v>
      </c>
      <c r="F41" s="30">
        <v>722008504914</v>
      </c>
      <c r="G41" s="10" t="s">
        <v>75</v>
      </c>
      <c r="H41" s="24" t="s">
        <v>39</v>
      </c>
      <c r="I41" s="10"/>
      <c r="J41" s="25">
        <v>3300</v>
      </c>
      <c r="K41" s="70">
        <v>300000</v>
      </c>
      <c r="L41" s="71">
        <f t="shared" si="0"/>
        <v>990000000</v>
      </c>
      <c r="M41" s="72">
        <f t="shared" si="1"/>
        <v>7.6910874086343842E-3</v>
      </c>
      <c r="N41" s="73">
        <f t="shared" si="3"/>
        <v>0.92934913958070009</v>
      </c>
      <c r="P41" s="74">
        <f t="shared" si="4"/>
        <v>0.5</v>
      </c>
    </row>
    <row r="42" spans="1:16" s="62" customFormat="1" x14ac:dyDescent="0.25">
      <c r="A42" s="53">
        <v>100044</v>
      </c>
      <c r="B42" s="35" t="s">
        <v>113</v>
      </c>
      <c r="C42" s="10">
        <f t="shared" si="2"/>
        <v>100032</v>
      </c>
      <c r="D42" s="31" t="s">
        <v>95</v>
      </c>
      <c r="E42" s="22" t="s">
        <v>96</v>
      </c>
      <c r="F42" s="26">
        <v>7702097066558</v>
      </c>
      <c r="G42" s="10" t="s">
        <v>88</v>
      </c>
      <c r="H42" s="24" t="s">
        <v>39</v>
      </c>
      <c r="I42" s="22"/>
      <c r="J42" s="32">
        <v>4000</v>
      </c>
      <c r="K42" s="70">
        <v>240000</v>
      </c>
      <c r="L42" s="71">
        <f t="shared" si="0"/>
        <v>960000000</v>
      </c>
      <c r="M42" s="72">
        <f t="shared" si="1"/>
        <v>7.4580241538272822E-3</v>
      </c>
      <c r="N42" s="73">
        <f t="shared" si="3"/>
        <v>0.93680716373452733</v>
      </c>
      <c r="P42" s="74">
        <f t="shared" si="4"/>
        <v>0.4</v>
      </c>
    </row>
    <row r="43" spans="1:16" s="62" customFormat="1" x14ac:dyDescent="0.25">
      <c r="A43" s="53">
        <v>100043</v>
      </c>
      <c r="B43" s="35" t="s">
        <v>112</v>
      </c>
      <c r="C43" s="10">
        <f t="shared" si="2"/>
        <v>100031</v>
      </c>
      <c r="D43" s="31" t="s">
        <v>93</v>
      </c>
      <c r="E43" s="22" t="s">
        <v>94</v>
      </c>
      <c r="F43" s="27"/>
      <c r="G43" s="10" t="s">
        <v>88</v>
      </c>
      <c r="H43" s="24" t="s">
        <v>39</v>
      </c>
      <c r="I43" s="22"/>
      <c r="J43" s="32">
        <v>3800</v>
      </c>
      <c r="K43" s="70">
        <v>240000</v>
      </c>
      <c r="L43" s="71">
        <f t="shared" si="0"/>
        <v>912000000</v>
      </c>
      <c r="M43" s="72">
        <f t="shared" si="1"/>
        <v>7.085122946135918E-3</v>
      </c>
      <c r="N43" s="73">
        <f t="shared" si="3"/>
        <v>0.94389228668066327</v>
      </c>
      <c r="P43" s="74">
        <f t="shared" si="4"/>
        <v>0.4</v>
      </c>
    </row>
    <row r="44" spans="1:16" s="62" customFormat="1" ht="25.5" x14ac:dyDescent="0.25">
      <c r="A44" s="53">
        <v>100048</v>
      </c>
      <c r="B44" s="35" t="s">
        <v>122</v>
      </c>
      <c r="C44" s="10">
        <f t="shared" si="2"/>
        <v>100011</v>
      </c>
      <c r="D44" s="10" t="s">
        <v>53</v>
      </c>
      <c r="E44" s="10" t="s">
        <v>51</v>
      </c>
      <c r="F44" s="27" t="s">
        <v>54</v>
      </c>
      <c r="G44" s="10" t="s">
        <v>46</v>
      </c>
      <c r="H44" s="24" t="s">
        <v>39</v>
      </c>
      <c r="I44" s="24" t="s">
        <v>51</v>
      </c>
      <c r="J44" s="25">
        <v>1260</v>
      </c>
      <c r="K44" s="70">
        <v>695668.30237370101</v>
      </c>
      <c r="L44" s="71">
        <f t="shared" si="0"/>
        <v>876542060.99086332</v>
      </c>
      <c r="M44" s="72">
        <f t="shared" si="1"/>
        <v>6.8096581903285469E-3</v>
      </c>
      <c r="N44" s="73">
        <f t="shared" si="3"/>
        <v>0.9507019448709918</v>
      </c>
      <c r="P44" s="74">
        <f t="shared" si="4"/>
        <v>0.5</v>
      </c>
    </row>
    <row r="45" spans="1:16" s="62" customFormat="1" x14ac:dyDescent="0.25">
      <c r="A45" s="53">
        <v>100022</v>
      </c>
      <c r="B45" s="22" t="s">
        <v>76</v>
      </c>
      <c r="C45" s="10">
        <f t="shared" si="2"/>
        <v>100047</v>
      </c>
      <c r="D45" s="35" t="s">
        <v>119</v>
      </c>
      <c r="E45" s="36" t="s">
        <v>120</v>
      </c>
      <c r="F45" s="37">
        <v>702097037244</v>
      </c>
      <c r="G45" s="22" t="s">
        <v>108</v>
      </c>
      <c r="H45" s="24" t="s">
        <v>39</v>
      </c>
      <c r="I45" s="40" t="s">
        <v>121</v>
      </c>
      <c r="J45" s="39">
        <v>4080</v>
      </c>
      <c r="K45" s="70">
        <v>207695.467072812</v>
      </c>
      <c r="L45" s="71">
        <f t="shared" si="0"/>
        <v>847397505.6570729</v>
      </c>
      <c r="M45" s="72">
        <f t="shared" si="1"/>
        <v>6.5832406927952506E-3</v>
      </c>
      <c r="N45" s="73">
        <f t="shared" si="3"/>
        <v>0.95728518556378706</v>
      </c>
      <c r="P45" s="74">
        <f t="shared" si="4"/>
        <v>0.4</v>
      </c>
    </row>
    <row r="46" spans="1:16" s="62" customFormat="1" x14ac:dyDescent="0.25">
      <c r="A46" s="53">
        <v>100023</v>
      </c>
      <c r="B46" s="22" t="s">
        <v>78</v>
      </c>
      <c r="C46" s="10">
        <f t="shared" si="2"/>
        <v>100020</v>
      </c>
      <c r="D46" s="29" t="s">
        <v>72</v>
      </c>
      <c r="E46" s="10"/>
      <c r="F46" s="28"/>
      <c r="G46" s="10" t="s">
        <v>63</v>
      </c>
      <c r="H46" s="24" t="s">
        <v>39</v>
      </c>
      <c r="I46" s="10"/>
      <c r="J46" s="25">
        <v>4100</v>
      </c>
      <c r="K46" s="70">
        <v>197518.73436370783</v>
      </c>
      <c r="L46" s="71">
        <f t="shared" si="0"/>
        <v>809826810.89120209</v>
      </c>
      <c r="M46" s="72">
        <f t="shared" si="1"/>
        <v>6.2913624125453165E-3</v>
      </c>
      <c r="N46" s="73">
        <f t="shared" si="3"/>
        <v>0.96357654797633241</v>
      </c>
      <c r="P46" s="74">
        <f t="shared" si="4"/>
        <v>0.4</v>
      </c>
    </row>
    <row r="47" spans="1:16" s="62" customFormat="1" x14ac:dyDescent="0.25">
      <c r="A47" s="53">
        <v>100021</v>
      </c>
      <c r="B47" s="22" t="s">
        <v>73</v>
      </c>
      <c r="C47" s="10">
        <f t="shared" si="2"/>
        <v>100008</v>
      </c>
      <c r="D47" s="10" t="s">
        <v>47</v>
      </c>
      <c r="E47" s="10" t="s">
        <v>48</v>
      </c>
      <c r="F47" s="27" t="s">
        <v>49</v>
      </c>
      <c r="G47" s="10" t="s">
        <v>46</v>
      </c>
      <c r="H47" s="24" t="s">
        <v>39</v>
      </c>
      <c r="I47" s="24" t="s">
        <v>48</v>
      </c>
      <c r="J47" s="25">
        <v>2340</v>
      </c>
      <c r="K47" s="70">
        <v>332412.10689326469</v>
      </c>
      <c r="L47" s="71">
        <f t="shared" si="0"/>
        <v>777844330.13023937</v>
      </c>
      <c r="M47" s="72">
        <f t="shared" si="1"/>
        <v>6.0428977104467997E-3</v>
      </c>
      <c r="N47" s="73">
        <f t="shared" si="3"/>
        <v>0.96961944568677916</v>
      </c>
      <c r="P47" s="74">
        <f t="shared" si="4"/>
        <v>0.5</v>
      </c>
    </row>
    <row r="48" spans="1:16" s="62" customFormat="1" x14ac:dyDescent="0.25">
      <c r="A48" s="52">
        <v>100040</v>
      </c>
      <c r="B48" s="35" t="s">
        <v>29</v>
      </c>
      <c r="C48" s="10">
        <f t="shared" si="2"/>
        <v>100045</v>
      </c>
      <c r="D48" s="35" t="s">
        <v>116</v>
      </c>
      <c r="E48" s="36" t="s">
        <v>117</v>
      </c>
      <c r="F48" s="37">
        <v>702097036643</v>
      </c>
      <c r="G48" s="22" t="s">
        <v>108</v>
      </c>
      <c r="H48" s="24" t="s">
        <v>39</v>
      </c>
      <c r="I48" s="38" t="s">
        <v>115</v>
      </c>
      <c r="J48" s="39">
        <v>2150</v>
      </c>
      <c r="K48" s="70">
        <v>356414.45897612115</v>
      </c>
      <c r="L48" s="71">
        <f t="shared" si="0"/>
        <v>766291086.79866052</v>
      </c>
      <c r="M48" s="72">
        <f t="shared" si="1"/>
        <v>5.9531431606322585E-3</v>
      </c>
      <c r="N48" s="73">
        <f t="shared" si="3"/>
        <v>0.97557258884741138</v>
      </c>
      <c r="P48" s="74">
        <f t="shared" si="4"/>
        <v>0.5</v>
      </c>
    </row>
    <row r="49" spans="1:16" s="62" customFormat="1" x14ac:dyDescent="0.25">
      <c r="A49" s="52">
        <v>100035</v>
      </c>
      <c r="B49" s="35" t="s">
        <v>24</v>
      </c>
      <c r="C49" s="10">
        <v>100029</v>
      </c>
      <c r="D49" s="31" t="s">
        <v>89</v>
      </c>
      <c r="E49" s="10" t="s">
        <v>90</v>
      </c>
      <c r="F49" s="26">
        <v>7702097066497</v>
      </c>
      <c r="G49" s="10" t="s">
        <v>88</v>
      </c>
      <c r="H49" s="24" t="s">
        <v>39</v>
      </c>
      <c r="I49" s="22"/>
      <c r="J49" s="32">
        <v>3000</v>
      </c>
      <c r="K49" s="70">
        <v>240000</v>
      </c>
      <c r="L49" s="71">
        <f t="shared" si="0"/>
        <v>720000000</v>
      </c>
      <c r="M49" s="72">
        <f t="shared" si="1"/>
        <v>5.5935181153704619E-3</v>
      </c>
      <c r="N49" s="73">
        <f t="shared" si="3"/>
        <v>0.98116610696278184</v>
      </c>
      <c r="P49" s="74">
        <f t="shared" si="4"/>
        <v>0.5</v>
      </c>
    </row>
    <row r="50" spans="1:16" s="62" customFormat="1" x14ac:dyDescent="0.25">
      <c r="A50" s="53">
        <v>100047</v>
      </c>
      <c r="B50" s="35" t="s">
        <v>119</v>
      </c>
      <c r="C50" s="10">
        <f t="shared" si="2"/>
        <v>100028</v>
      </c>
      <c r="D50" s="31" t="s">
        <v>86</v>
      </c>
      <c r="E50" s="10" t="s">
        <v>87</v>
      </c>
      <c r="F50" s="28"/>
      <c r="G50" s="10" t="s">
        <v>88</v>
      </c>
      <c r="H50" s="24" t="s">
        <v>39</v>
      </c>
      <c r="I50" s="10"/>
      <c r="J50" s="25">
        <v>2350</v>
      </c>
      <c r="K50" s="70">
        <v>300000</v>
      </c>
      <c r="L50" s="71">
        <f t="shared" si="0"/>
        <v>705000000</v>
      </c>
      <c r="M50" s="72">
        <f t="shared" si="1"/>
        <v>5.4769864879669105E-3</v>
      </c>
      <c r="N50" s="73">
        <f t="shared" si="3"/>
        <v>0.98664309345074874</v>
      </c>
      <c r="P50" s="74">
        <f t="shared" si="4"/>
        <v>0.5</v>
      </c>
    </row>
    <row r="51" spans="1:16" s="62" customFormat="1" x14ac:dyDescent="0.25">
      <c r="A51" s="53">
        <v>100007</v>
      </c>
      <c r="B51" s="10" t="s">
        <v>43</v>
      </c>
      <c r="C51" s="10">
        <f t="shared" si="2"/>
        <v>100012</v>
      </c>
      <c r="D51" s="10" t="s">
        <v>55</v>
      </c>
      <c r="E51" s="10" t="s">
        <v>56</v>
      </c>
      <c r="F51" s="27"/>
      <c r="G51" s="10" t="s">
        <v>46</v>
      </c>
      <c r="H51" s="24" t="s">
        <v>39</v>
      </c>
      <c r="I51" s="24" t="s">
        <v>56</v>
      </c>
      <c r="J51" s="25">
        <v>1260</v>
      </c>
      <c r="K51" s="70">
        <v>545806.26325994404</v>
      </c>
      <c r="L51" s="71">
        <f t="shared" si="0"/>
        <v>687715891.70752954</v>
      </c>
      <c r="M51" s="72">
        <f t="shared" si="1"/>
        <v>5.3427101367975235E-3</v>
      </c>
      <c r="N51" s="73">
        <f t="shared" si="3"/>
        <v>0.99198580358754629</v>
      </c>
      <c r="P51" s="74">
        <f t="shared" si="4"/>
        <v>0.5</v>
      </c>
    </row>
    <row r="52" spans="1:16" s="62" customFormat="1" x14ac:dyDescent="0.25">
      <c r="A52" s="53">
        <v>100008</v>
      </c>
      <c r="B52" s="10" t="s">
        <v>47</v>
      </c>
      <c r="C52" s="10">
        <f t="shared" si="2"/>
        <v>100046</v>
      </c>
      <c r="D52" s="35" t="s">
        <v>118</v>
      </c>
      <c r="E52" s="36" t="s">
        <v>117</v>
      </c>
      <c r="F52" s="37">
        <v>702097036643</v>
      </c>
      <c r="G52" s="22" t="s">
        <v>108</v>
      </c>
      <c r="H52" s="24" t="s">
        <v>39</v>
      </c>
      <c r="I52" s="38" t="s">
        <v>115</v>
      </c>
      <c r="J52" s="39">
        <v>2150</v>
      </c>
      <c r="K52" s="70">
        <v>287251.50075092842</v>
      </c>
      <c r="L52" s="71">
        <f t="shared" si="0"/>
        <v>617590726.61449611</v>
      </c>
      <c r="M52" s="72">
        <f t="shared" si="1"/>
        <v>4.7979234961152643E-3</v>
      </c>
      <c r="N52" s="73">
        <f t="shared" si="3"/>
        <v>0.99678372708366159</v>
      </c>
      <c r="P52" s="74">
        <f t="shared" si="4"/>
        <v>0.5</v>
      </c>
    </row>
    <row r="53" spans="1:16" s="62" customFormat="1" x14ac:dyDescent="0.25">
      <c r="A53" s="53">
        <v>100009</v>
      </c>
      <c r="B53" s="10" t="s">
        <v>50</v>
      </c>
      <c r="C53" s="10">
        <f t="shared" si="2"/>
        <v>100030</v>
      </c>
      <c r="D53" s="31" t="s">
        <v>91</v>
      </c>
      <c r="E53" s="22" t="s">
        <v>92</v>
      </c>
      <c r="F53" s="26">
        <v>7702097066503</v>
      </c>
      <c r="G53" s="10" t="s">
        <v>88</v>
      </c>
      <c r="H53" s="24" t="s">
        <v>39</v>
      </c>
      <c r="I53" s="22"/>
      <c r="J53" s="32">
        <v>2300</v>
      </c>
      <c r="K53" s="70">
        <v>180000</v>
      </c>
      <c r="L53" s="71">
        <f t="shared" si="0"/>
        <v>414000000</v>
      </c>
      <c r="M53" s="72">
        <f t="shared" si="1"/>
        <v>3.2162729163380155E-3</v>
      </c>
      <c r="N53" s="73">
        <f t="shared" ref="N53" si="5">+N52+M53</f>
        <v>0.99999999999999956</v>
      </c>
      <c r="O53" s="62">
        <f>COUNT(N26:N53)</f>
        <v>28</v>
      </c>
      <c r="P53" s="74">
        <f t="shared" si="4"/>
        <v>0.5</v>
      </c>
    </row>
    <row r="54" spans="1:16" s="62" customFormat="1" x14ac:dyDescent="0.25">
      <c r="C54" s="41"/>
      <c r="D54" s="19"/>
      <c r="E54" s="19"/>
      <c r="F54" s="20"/>
      <c r="G54" s="19"/>
      <c r="H54" s="41"/>
      <c r="I54" s="65"/>
      <c r="J54" s="66"/>
      <c r="L54" s="61">
        <f>SUM(L6:L53)</f>
        <v>128720419805.47229</v>
      </c>
      <c r="M54" s="67"/>
      <c r="P54" s="74"/>
    </row>
    <row r="55" spans="1:16" s="62" customFormat="1" x14ac:dyDescent="0.25">
      <c r="C55" s="65"/>
      <c r="D55" s="65"/>
      <c r="E55" s="65"/>
      <c r="F55" s="68"/>
      <c r="G55" s="65"/>
      <c r="H55" s="65"/>
      <c r="I55" s="65"/>
      <c r="J55" s="66"/>
      <c r="P55" s="74"/>
    </row>
    <row r="56" spans="1:16" s="62" customFormat="1" x14ac:dyDescent="0.25">
      <c r="C56" s="65"/>
      <c r="D56" s="65"/>
      <c r="E56" s="65"/>
      <c r="F56" s="68"/>
      <c r="G56" s="65"/>
      <c r="H56" s="65"/>
      <c r="I56" s="65"/>
      <c r="J56" s="66"/>
      <c r="P56" s="74"/>
    </row>
    <row r="57" spans="1:16" s="62" customFormat="1" x14ac:dyDescent="0.25">
      <c r="C57" s="65"/>
      <c r="D57" s="65"/>
      <c r="E57" s="65"/>
      <c r="F57" s="68"/>
      <c r="G57" s="65"/>
      <c r="H57" s="65"/>
      <c r="I57" s="65"/>
      <c r="J57" s="66"/>
      <c r="P57" s="74"/>
    </row>
  </sheetData>
  <sortState ref="A5:B53">
    <sortCondition ref="B5:B53"/>
  </sortState>
  <mergeCells count="1">
    <mergeCell ref="C2:J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workbookViewId="0">
      <selection activeCell="F4" sqref="F4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2.71093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774" t="s">
        <v>154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AF1" s="776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+pronostico!O3*50%</f>
        <v>89032.250355365351</v>
      </c>
      <c r="G4" s="137">
        <f>F4*D4</f>
        <v>437148349.2448439</v>
      </c>
      <c r="H4" s="138">
        <f>G4*E4</f>
        <v>174859339.69793758</v>
      </c>
      <c r="I4" s="137">
        <f>+F4*50%</f>
        <v>44516.125177682676</v>
      </c>
      <c r="J4" s="139">
        <f>+F4*30%</f>
        <v>26709.675106609604</v>
      </c>
      <c r="K4" s="167">
        <f t="shared" ref="K4:K51" si="0">+F4*10%</f>
        <v>8903.2250355365359</v>
      </c>
      <c r="L4" s="168">
        <f t="shared" ref="L4:L18" si="1">+F4*10%</f>
        <v>8903.2250355365359</v>
      </c>
      <c r="M4" s="169">
        <f>+pronostico!O3*20%</f>
        <v>35612.900142146143</v>
      </c>
      <c r="N4" s="170">
        <f t="shared" ref="N4:N51" si="2">M4*D4</f>
        <v>174859339.69793758</v>
      </c>
      <c r="O4" s="171">
        <f t="shared" ref="O4:O51" si="3">N4*E4</f>
        <v>69943735.879175037</v>
      </c>
      <c r="P4" s="170">
        <f>+M4*50%</f>
        <v>17806.450071073072</v>
      </c>
      <c r="Q4" s="172">
        <f>+M4*50%</f>
        <v>17806.450071073072</v>
      </c>
      <c r="R4" s="173">
        <f>+pronostico!O3*8%</f>
        <v>14245.160056858456</v>
      </c>
      <c r="S4" s="174">
        <f t="shared" ref="S4:S51" si="4">R4*D4</f>
        <v>69943735.879175022</v>
      </c>
      <c r="T4" s="175">
        <f t="shared" ref="T4:T51" si="5">S4*E4</f>
        <v>27977494.351670012</v>
      </c>
      <c r="U4" s="173">
        <f>+pronostico!O3*8%</f>
        <v>14245.160056858456</v>
      </c>
      <c r="V4" s="176">
        <f t="shared" ref="V4:V35" si="6">U4*D4</f>
        <v>69943735.879175022</v>
      </c>
      <c r="W4" s="177">
        <f t="shared" ref="W4:W35" si="7">V4*E4</f>
        <v>27977494.351670012</v>
      </c>
      <c r="X4" s="173">
        <f>+pronostico!O3*2%</f>
        <v>3561.2900142146141</v>
      </c>
      <c r="Y4" s="178">
        <f t="shared" ref="Y4:Y51" si="8">X4*D4</f>
        <v>17485933.969793756</v>
      </c>
      <c r="Z4" s="178">
        <f t="shared" ref="Z4:Z51" si="9">Y4*E4</f>
        <v>6994373.587917503</v>
      </c>
      <c r="AA4" s="173">
        <f>+pronostico!O3*2%</f>
        <v>3561.2900142146141</v>
      </c>
      <c r="AB4" s="176">
        <f t="shared" ref="AB4:AB51" si="10">AA4*D4</f>
        <v>17485933.969793756</v>
      </c>
      <c r="AC4" s="177">
        <f t="shared" ref="AC4:AC51" si="11">AB4*E4</f>
        <v>6994373.587917503</v>
      </c>
      <c r="AD4" s="173">
        <f>+pronostico!O3*10%</f>
        <v>17806.450071073072</v>
      </c>
      <c r="AE4" s="176">
        <f>+AD4*D4</f>
        <v>87429669.848968789</v>
      </c>
      <c r="AF4" s="177">
        <f>+AE4*E4</f>
        <v>34971867.939587519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+pronostico!O4*50%</f>
        <v>62133.10843555726</v>
      </c>
      <c r="G5" s="137">
        <f t="shared" ref="G5:H51" si="13">F5*D5</f>
        <v>305073562.41858613</v>
      </c>
      <c r="H5" s="138">
        <f t="shared" si="13"/>
        <v>122029424.96743447</v>
      </c>
      <c r="I5" s="137">
        <f t="shared" ref="I5:I20" si="14">+F5*50%</f>
        <v>31066.55421777863</v>
      </c>
      <c r="J5" s="139">
        <f t="shared" ref="J5:J51" si="15">+F5*30%</f>
        <v>18639.932530667178</v>
      </c>
      <c r="K5" s="167">
        <f t="shared" si="0"/>
        <v>6213.310843555726</v>
      </c>
      <c r="L5" s="168">
        <f t="shared" si="1"/>
        <v>6213.310843555726</v>
      </c>
      <c r="M5" s="169">
        <f>+pronostico!O4*20%</f>
        <v>24853.243374222904</v>
      </c>
      <c r="N5" s="170">
        <f t="shared" si="2"/>
        <v>122029424.96743447</v>
      </c>
      <c r="O5" s="171">
        <f t="shared" si="3"/>
        <v>48811769.986973792</v>
      </c>
      <c r="P5" s="170">
        <f t="shared" ref="P5:P51" si="16">+M5*50%</f>
        <v>12426.621687111452</v>
      </c>
      <c r="Q5" s="172">
        <f t="shared" ref="Q5:Q51" si="17">+M5*50%</f>
        <v>12426.621687111452</v>
      </c>
      <c r="R5" s="173">
        <f>+pronostico!O4*8%</f>
        <v>9941.2973496891627</v>
      </c>
      <c r="S5" s="174">
        <f t="shared" si="4"/>
        <v>48811769.986973792</v>
      </c>
      <c r="T5" s="175">
        <f t="shared" si="5"/>
        <v>19524707.994789518</v>
      </c>
      <c r="U5" s="173">
        <f>+pronostico!O4*8%</f>
        <v>9941.2973496891627</v>
      </c>
      <c r="V5" s="176">
        <f t="shared" si="6"/>
        <v>48811769.986973792</v>
      </c>
      <c r="W5" s="177">
        <f t="shared" si="7"/>
        <v>19524707.994789518</v>
      </c>
      <c r="X5" s="173">
        <f>+pronostico!O4*2%</f>
        <v>2485.3243374222907</v>
      </c>
      <c r="Y5" s="178">
        <f t="shared" si="8"/>
        <v>12202942.496743448</v>
      </c>
      <c r="Z5" s="178">
        <f t="shared" si="9"/>
        <v>4881176.9986973796</v>
      </c>
      <c r="AA5" s="173">
        <f>+pronostico!O4*2%</f>
        <v>2485.3243374222907</v>
      </c>
      <c r="AB5" s="179">
        <f t="shared" si="10"/>
        <v>12202942.496743448</v>
      </c>
      <c r="AC5" s="180">
        <f t="shared" si="11"/>
        <v>4881176.9986973796</v>
      </c>
      <c r="AD5" s="173">
        <f>+pronostico!O4*10%</f>
        <v>12426.621687111452</v>
      </c>
      <c r="AE5" s="176">
        <f t="shared" ref="AE5:AF20" si="18">+AD5*D5</f>
        <v>61014712.483717233</v>
      </c>
      <c r="AF5" s="177">
        <f t="shared" si="18"/>
        <v>24405884.993486896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+pronostico!O5*50%</f>
        <v>18385.360733261994</v>
      </c>
      <c r="G6" s="137">
        <f t="shared" si="13"/>
        <v>110312164.39957197</v>
      </c>
      <c r="H6" s="138">
        <f t="shared" si="13"/>
        <v>44124865.759828791</v>
      </c>
      <c r="I6" s="137">
        <f t="shared" si="14"/>
        <v>9192.680366630997</v>
      </c>
      <c r="J6" s="139">
        <f t="shared" si="15"/>
        <v>5515.6082199785978</v>
      </c>
      <c r="K6" s="167">
        <f t="shared" si="0"/>
        <v>1838.5360733261996</v>
      </c>
      <c r="L6" s="168">
        <f t="shared" si="1"/>
        <v>1838.5360733261996</v>
      </c>
      <c r="M6" s="169">
        <f>+pronostico!O5*20%</f>
        <v>7354.1442933047983</v>
      </c>
      <c r="N6" s="170">
        <f t="shared" si="2"/>
        <v>44124865.759828791</v>
      </c>
      <c r="O6" s="171">
        <f t="shared" si="3"/>
        <v>17649946.303931516</v>
      </c>
      <c r="P6" s="170">
        <f t="shared" si="16"/>
        <v>3677.0721466523992</v>
      </c>
      <c r="Q6" s="172">
        <f t="shared" si="17"/>
        <v>3677.0721466523992</v>
      </c>
      <c r="R6" s="173">
        <f>+pronostico!O5*8%</f>
        <v>2941.6577173219189</v>
      </c>
      <c r="S6" s="174">
        <f t="shared" si="4"/>
        <v>17649946.303931512</v>
      </c>
      <c r="T6" s="175">
        <f t="shared" si="5"/>
        <v>7059978.5215726048</v>
      </c>
      <c r="U6" s="173">
        <f>+pronostico!O5*8%</f>
        <v>2941.6577173219189</v>
      </c>
      <c r="V6" s="176">
        <f t="shared" si="6"/>
        <v>17649946.303931512</v>
      </c>
      <c r="W6" s="177">
        <f t="shared" si="7"/>
        <v>7059978.5215726048</v>
      </c>
      <c r="X6" s="173">
        <f>+pronostico!O5*2%</f>
        <v>735.41442933047972</v>
      </c>
      <c r="Y6" s="178">
        <f t="shared" si="8"/>
        <v>4412486.575982878</v>
      </c>
      <c r="Z6" s="178">
        <f t="shared" si="9"/>
        <v>1764994.6303931512</v>
      </c>
      <c r="AA6" s="173">
        <f>+pronostico!O5*2%</f>
        <v>735.41442933047972</v>
      </c>
      <c r="AB6" s="179">
        <f t="shared" si="10"/>
        <v>4412486.575982878</v>
      </c>
      <c r="AC6" s="180">
        <f t="shared" si="11"/>
        <v>1764994.6303931512</v>
      </c>
      <c r="AD6" s="173">
        <f>+pronostico!O5*10%</f>
        <v>3677.0721466523992</v>
      </c>
      <c r="AE6" s="176">
        <f t="shared" si="18"/>
        <v>22062432.879914396</v>
      </c>
      <c r="AF6" s="177">
        <f t="shared" si="18"/>
        <v>8824973.1519657578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+pronostico!O6*50%</f>
        <v>34417.395292666442</v>
      </c>
      <c r="G7" s="137">
        <f t="shared" si="13"/>
        <v>176561237.85137886</v>
      </c>
      <c r="H7" s="138">
        <f t="shared" si="13"/>
        <v>70624495.140551552</v>
      </c>
      <c r="I7" s="137">
        <f t="shared" si="14"/>
        <v>17208.697646333221</v>
      </c>
      <c r="J7" s="139">
        <f t="shared" si="15"/>
        <v>10325.218587799933</v>
      </c>
      <c r="K7" s="167">
        <f t="shared" si="0"/>
        <v>3441.7395292666442</v>
      </c>
      <c r="L7" s="168">
        <f t="shared" si="1"/>
        <v>3441.7395292666442</v>
      </c>
      <c r="M7" s="169">
        <f>+pronostico!O6*20%</f>
        <v>13766.958117066577</v>
      </c>
      <c r="N7" s="170">
        <f t="shared" si="2"/>
        <v>70624495.140551537</v>
      </c>
      <c r="O7" s="171">
        <f t="shared" si="3"/>
        <v>28249798.056220617</v>
      </c>
      <c r="P7" s="170">
        <f t="shared" si="16"/>
        <v>6883.4790585332885</v>
      </c>
      <c r="Q7" s="172">
        <f t="shared" si="17"/>
        <v>6883.4790585332885</v>
      </c>
      <c r="R7" s="173">
        <f>+pronostico!O6*8%</f>
        <v>5506.7832468266306</v>
      </c>
      <c r="S7" s="174">
        <f t="shared" si="4"/>
        <v>28249798.056220613</v>
      </c>
      <c r="T7" s="175">
        <f t="shared" si="5"/>
        <v>11299919.222488247</v>
      </c>
      <c r="U7" s="173">
        <f>+pronostico!O6*8%</f>
        <v>5506.7832468266306</v>
      </c>
      <c r="V7" s="176">
        <f t="shared" si="6"/>
        <v>28249798.056220613</v>
      </c>
      <c r="W7" s="177">
        <f t="shared" si="7"/>
        <v>11299919.222488247</v>
      </c>
      <c r="X7" s="173">
        <f>+pronostico!O6*2%</f>
        <v>1376.6958117066577</v>
      </c>
      <c r="Y7" s="178">
        <f t="shared" si="8"/>
        <v>7062449.5140551534</v>
      </c>
      <c r="Z7" s="178">
        <f t="shared" si="9"/>
        <v>2824979.8056220617</v>
      </c>
      <c r="AA7" s="173">
        <f>+pronostico!O6*2%</f>
        <v>1376.6958117066577</v>
      </c>
      <c r="AB7" s="179">
        <f t="shared" si="10"/>
        <v>7062449.5140551534</v>
      </c>
      <c r="AC7" s="180">
        <f t="shared" si="11"/>
        <v>2824979.8056220617</v>
      </c>
      <c r="AD7" s="173">
        <f>+pronostico!O6*10%</f>
        <v>6883.4790585332885</v>
      </c>
      <c r="AE7" s="176">
        <f t="shared" si="18"/>
        <v>35312247.570275769</v>
      </c>
      <c r="AF7" s="177">
        <f t="shared" si="18"/>
        <v>14124899.028110309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+pronostico!O7*50%</f>
        <v>25579.555057020876</v>
      </c>
      <c r="G8" s="137">
        <f t="shared" si="13"/>
        <v>218705195.7375285</v>
      </c>
      <c r="H8" s="138">
        <f t="shared" si="13"/>
        <v>87482078.295011401</v>
      </c>
      <c r="I8" s="137">
        <f t="shared" si="14"/>
        <v>12789.777528510438</v>
      </c>
      <c r="J8" s="139">
        <f t="shared" si="15"/>
        <v>7673.8665171062621</v>
      </c>
      <c r="K8" s="167">
        <f t="shared" si="0"/>
        <v>2557.955505702088</v>
      </c>
      <c r="L8" s="168">
        <f t="shared" si="1"/>
        <v>2557.955505702088</v>
      </c>
      <c r="M8" s="169">
        <f>+pronostico!O7*20%</f>
        <v>10231.822022808352</v>
      </c>
      <c r="N8" s="170">
        <f t="shared" si="2"/>
        <v>87482078.295011416</v>
      </c>
      <c r="O8" s="171">
        <f t="shared" si="3"/>
        <v>34992831.318004571</v>
      </c>
      <c r="P8" s="170">
        <f t="shared" si="16"/>
        <v>5115.911011404176</v>
      </c>
      <c r="Q8" s="172">
        <f t="shared" si="17"/>
        <v>5115.911011404176</v>
      </c>
      <c r="R8" s="173">
        <f>+pronostico!O7*8%</f>
        <v>4092.7288091233404</v>
      </c>
      <c r="S8" s="174">
        <f t="shared" si="4"/>
        <v>34992831.318004563</v>
      </c>
      <c r="T8" s="175">
        <f t="shared" si="5"/>
        <v>13997132.527201826</v>
      </c>
      <c r="U8" s="173">
        <f>+pronostico!O7*8%</f>
        <v>4092.7288091233404</v>
      </c>
      <c r="V8" s="176">
        <f t="shared" si="6"/>
        <v>34992831.318004563</v>
      </c>
      <c r="W8" s="177">
        <f t="shared" si="7"/>
        <v>13997132.527201826</v>
      </c>
      <c r="X8" s="173">
        <f>+pronostico!O7*2%</f>
        <v>1023.1822022808351</v>
      </c>
      <c r="Y8" s="178">
        <f t="shared" si="8"/>
        <v>8748207.8295011409</v>
      </c>
      <c r="Z8" s="178">
        <f t="shared" si="9"/>
        <v>3499283.1318004564</v>
      </c>
      <c r="AA8" s="173">
        <f>+pronostico!O7*2%</f>
        <v>1023.1822022808351</v>
      </c>
      <c r="AB8" s="179">
        <f t="shared" si="10"/>
        <v>8748207.8295011409</v>
      </c>
      <c r="AC8" s="180">
        <f t="shared" si="11"/>
        <v>3499283.1318004564</v>
      </c>
      <c r="AD8" s="173">
        <f>+pronostico!O7*10%</f>
        <v>5115.911011404176</v>
      </c>
      <c r="AE8" s="176">
        <f t="shared" si="18"/>
        <v>43741039.147505708</v>
      </c>
      <c r="AF8" s="177">
        <f t="shared" si="18"/>
        <v>17496415.659002285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+pronostico!O8*50%</f>
        <v>28863.247222836289</v>
      </c>
      <c r="G9" s="137">
        <f t="shared" si="13"/>
        <v>291518796.95064652</v>
      </c>
      <c r="H9" s="138">
        <f t="shared" si="13"/>
        <v>116607518.78025861</v>
      </c>
      <c r="I9" s="137">
        <f t="shared" si="14"/>
        <v>14431.623611418145</v>
      </c>
      <c r="J9" s="139">
        <f t="shared" si="15"/>
        <v>8658.9741668508868</v>
      </c>
      <c r="K9" s="167">
        <f t="shared" si="0"/>
        <v>2886.3247222836289</v>
      </c>
      <c r="L9" s="168">
        <f t="shared" si="1"/>
        <v>2886.3247222836289</v>
      </c>
      <c r="M9" s="169">
        <f>+pronostico!O8*20%</f>
        <v>11545.298889134516</v>
      </c>
      <c r="N9" s="170">
        <f t="shared" si="2"/>
        <v>116607518.78025861</v>
      </c>
      <c r="O9" s="171">
        <f t="shared" si="3"/>
        <v>46643007.512103446</v>
      </c>
      <c r="P9" s="170">
        <f t="shared" si="16"/>
        <v>5772.6494445672579</v>
      </c>
      <c r="Q9" s="172">
        <f t="shared" si="17"/>
        <v>5772.6494445672579</v>
      </c>
      <c r="R9" s="173">
        <f>+pronostico!O8*8%</f>
        <v>4618.1195556538069</v>
      </c>
      <c r="S9" s="174">
        <f t="shared" si="4"/>
        <v>46643007.512103446</v>
      </c>
      <c r="T9" s="175">
        <f t="shared" si="5"/>
        <v>18657203.00484138</v>
      </c>
      <c r="U9" s="173">
        <f>+pronostico!O8*8%</f>
        <v>4618.1195556538069</v>
      </c>
      <c r="V9" s="176">
        <f t="shared" si="6"/>
        <v>46643007.512103446</v>
      </c>
      <c r="W9" s="177">
        <f t="shared" si="7"/>
        <v>18657203.00484138</v>
      </c>
      <c r="X9" s="173">
        <f>+pronostico!O8*2%</f>
        <v>1154.5298889134517</v>
      </c>
      <c r="Y9" s="178">
        <f t="shared" si="8"/>
        <v>11660751.878025861</v>
      </c>
      <c r="Z9" s="178">
        <f t="shared" si="9"/>
        <v>4664300.751210345</v>
      </c>
      <c r="AA9" s="173">
        <f>+pronostico!O8*2%</f>
        <v>1154.5298889134517</v>
      </c>
      <c r="AB9" s="179">
        <f t="shared" si="10"/>
        <v>11660751.878025861</v>
      </c>
      <c r="AC9" s="180">
        <f t="shared" si="11"/>
        <v>4664300.751210345</v>
      </c>
      <c r="AD9" s="173">
        <f>+pronostico!O8*10%</f>
        <v>5772.6494445672579</v>
      </c>
      <c r="AE9" s="176">
        <f t="shared" si="18"/>
        <v>58303759.390129305</v>
      </c>
      <c r="AF9" s="177">
        <f t="shared" si="18"/>
        <v>23321503.756051723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+pronostico!O9*50%</f>
        <v>34915.830531850814</v>
      </c>
      <c r="G10" s="137">
        <f t="shared" si="13"/>
        <v>81703043.444530904</v>
      </c>
      <c r="H10" s="138">
        <f t="shared" si="13"/>
        <v>40851521.722265452</v>
      </c>
      <c r="I10" s="137">
        <f t="shared" si="14"/>
        <v>17457.915265925407</v>
      </c>
      <c r="J10" s="139">
        <f t="shared" si="15"/>
        <v>10474.749159555244</v>
      </c>
      <c r="K10" s="167">
        <f t="shared" si="0"/>
        <v>3491.5830531850816</v>
      </c>
      <c r="L10" s="168">
        <f t="shared" si="1"/>
        <v>3491.5830531850816</v>
      </c>
      <c r="M10" s="169">
        <f>+pronostico!O9*20%</f>
        <v>13966.332212740326</v>
      </c>
      <c r="N10" s="170">
        <f t="shared" si="2"/>
        <v>32681217.377812363</v>
      </c>
      <c r="O10" s="171">
        <f t="shared" si="3"/>
        <v>16340608.688906182</v>
      </c>
      <c r="P10" s="170">
        <f t="shared" si="16"/>
        <v>6983.1661063701631</v>
      </c>
      <c r="Q10" s="172">
        <f t="shared" si="17"/>
        <v>6983.1661063701631</v>
      </c>
      <c r="R10" s="173">
        <f>+pronostico!O9*8%</f>
        <v>5586.5328850961305</v>
      </c>
      <c r="S10" s="174">
        <f t="shared" si="4"/>
        <v>13072486.951124946</v>
      </c>
      <c r="T10" s="175">
        <f t="shared" si="5"/>
        <v>6536243.4755624728</v>
      </c>
      <c r="U10" s="173">
        <f>+pronostico!O9*8%</f>
        <v>5586.5328850961305</v>
      </c>
      <c r="V10" s="176">
        <f t="shared" si="6"/>
        <v>13072486.951124946</v>
      </c>
      <c r="W10" s="177">
        <f t="shared" si="7"/>
        <v>6536243.4755624728</v>
      </c>
      <c r="X10" s="173">
        <f>+pronostico!O9*2%</f>
        <v>1396.6332212740326</v>
      </c>
      <c r="Y10" s="178">
        <f t="shared" si="8"/>
        <v>3268121.7377812364</v>
      </c>
      <c r="Z10" s="178">
        <f t="shared" si="9"/>
        <v>1634060.8688906182</v>
      </c>
      <c r="AA10" s="173">
        <f>+pronostico!O9*2%</f>
        <v>1396.6332212740326</v>
      </c>
      <c r="AB10" s="179">
        <f t="shared" si="10"/>
        <v>3268121.7377812364</v>
      </c>
      <c r="AC10" s="180">
        <f t="shared" si="11"/>
        <v>1634060.8688906182</v>
      </c>
      <c r="AD10" s="173">
        <f>+pronostico!O9*10%</f>
        <v>6983.1661063701631</v>
      </c>
      <c r="AE10" s="176">
        <f t="shared" si="18"/>
        <v>16340608.688906182</v>
      </c>
      <c r="AF10" s="177">
        <f t="shared" si="18"/>
        <v>8170304.3444530908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+pronostico!O10*50%</f>
        <v>14755.683117091035</v>
      </c>
      <c r="G11" s="137">
        <f t="shared" si="13"/>
        <v>34528298.493993022</v>
      </c>
      <c r="H11" s="138">
        <f t="shared" si="13"/>
        <v>17264149.246996511</v>
      </c>
      <c r="I11" s="137">
        <f t="shared" si="14"/>
        <v>7377.8415585455177</v>
      </c>
      <c r="J11" s="139">
        <f t="shared" si="15"/>
        <v>4426.7049351273108</v>
      </c>
      <c r="K11" s="167">
        <f t="shared" si="0"/>
        <v>1475.5683117091037</v>
      </c>
      <c r="L11" s="168">
        <f t="shared" si="1"/>
        <v>1475.5683117091037</v>
      </c>
      <c r="M11" s="169">
        <f>+pronostico!O10*20%</f>
        <v>5902.2732468364147</v>
      </c>
      <c r="N11" s="170">
        <f t="shared" si="2"/>
        <v>13811319.39759721</v>
      </c>
      <c r="O11" s="171">
        <f t="shared" si="3"/>
        <v>6905659.6987986052</v>
      </c>
      <c r="P11" s="170">
        <f t="shared" si="16"/>
        <v>2951.1366234182074</v>
      </c>
      <c r="Q11" s="172">
        <f t="shared" si="17"/>
        <v>2951.1366234182074</v>
      </c>
      <c r="R11" s="173">
        <f>+pronostico!O10*8%</f>
        <v>2360.9092987345657</v>
      </c>
      <c r="S11" s="174">
        <f t="shared" si="4"/>
        <v>5524527.7590388842</v>
      </c>
      <c r="T11" s="175">
        <f t="shared" si="5"/>
        <v>2762263.8795194421</v>
      </c>
      <c r="U11" s="173">
        <f>+pronostico!O10*8%</f>
        <v>2360.9092987345657</v>
      </c>
      <c r="V11" s="176">
        <f t="shared" si="6"/>
        <v>5524527.7590388842</v>
      </c>
      <c r="W11" s="177">
        <f t="shared" si="7"/>
        <v>2762263.8795194421</v>
      </c>
      <c r="X11" s="173">
        <f>+pronostico!O10*2%</f>
        <v>590.22732468364143</v>
      </c>
      <c r="Y11" s="178">
        <f t="shared" si="8"/>
        <v>1381131.939759721</v>
      </c>
      <c r="Z11" s="178">
        <f t="shared" si="9"/>
        <v>690565.96987986052</v>
      </c>
      <c r="AA11" s="173">
        <f>+pronostico!O10*2%</f>
        <v>590.22732468364143</v>
      </c>
      <c r="AB11" s="179">
        <f t="shared" si="10"/>
        <v>1381131.939759721</v>
      </c>
      <c r="AC11" s="180">
        <f t="shared" si="11"/>
        <v>690565.96987986052</v>
      </c>
      <c r="AD11" s="173">
        <f>+pronostico!O10*10%</f>
        <v>2951.1366234182074</v>
      </c>
      <c r="AE11" s="176">
        <f t="shared" si="18"/>
        <v>6905659.6987986052</v>
      </c>
      <c r="AF11" s="177">
        <f t="shared" si="18"/>
        <v>3452829.8493993026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+pronostico!O11*50%</f>
        <v>58504.088437470877</v>
      </c>
      <c r="G12" s="137">
        <f t="shared" si="13"/>
        <v>131049158.09993476</v>
      </c>
      <c r="H12" s="138">
        <f t="shared" si="13"/>
        <v>65524579.049967378</v>
      </c>
      <c r="I12" s="137">
        <f t="shared" si="14"/>
        <v>29252.044218735438</v>
      </c>
      <c r="J12" s="139">
        <f t="shared" si="15"/>
        <v>17551.226531241264</v>
      </c>
      <c r="K12" s="167">
        <f t="shared" si="0"/>
        <v>5850.4088437470882</v>
      </c>
      <c r="L12" s="168">
        <f t="shared" si="1"/>
        <v>5850.4088437470882</v>
      </c>
      <c r="M12" s="169">
        <f>+pronostico!O11*20%</f>
        <v>23401.635374988353</v>
      </c>
      <c r="N12" s="170">
        <f t="shared" si="2"/>
        <v>52419663.23997391</v>
      </c>
      <c r="O12" s="171">
        <f t="shared" si="3"/>
        <v>26209831.619986955</v>
      </c>
      <c r="P12" s="170">
        <f t="shared" si="16"/>
        <v>11700.817687494176</v>
      </c>
      <c r="Q12" s="172">
        <f t="shared" si="17"/>
        <v>11700.817687494176</v>
      </c>
      <c r="R12" s="173">
        <f>+pronostico!O11*8%</f>
        <v>9360.65414999534</v>
      </c>
      <c r="S12" s="174">
        <f t="shared" si="4"/>
        <v>20967865.295989562</v>
      </c>
      <c r="T12" s="175">
        <f t="shared" si="5"/>
        <v>10483932.647994781</v>
      </c>
      <c r="U12" s="173">
        <f>+pronostico!O11*8%</f>
        <v>9360.65414999534</v>
      </c>
      <c r="V12" s="176">
        <f t="shared" si="6"/>
        <v>20967865.295989562</v>
      </c>
      <c r="W12" s="177">
        <f t="shared" si="7"/>
        <v>10483932.647994781</v>
      </c>
      <c r="X12" s="173">
        <f>+pronostico!O11*2%</f>
        <v>2340.163537498835</v>
      </c>
      <c r="Y12" s="178">
        <f t="shared" si="8"/>
        <v>5241966.3239973905</v>
      </c>
      <c r="Z12" s="178">
        <f t="shared" si="9"/>
        <v>2620983.1619986952</v>
      </c>
      <c r="AA12" s="173">
        <f>+pronostico!O11*2%</f>
        <v>2340.163537498835</v>
      </c>
      <c r="AB12" s="179">
        <f t="shared" si="10"/>
        <v>5241966.3239973905</v>
      </c>
      <c r="AC12" s="180">
        <f t="shared" si="11"/>
        <v>2620983.1619986952</v>
      </c>
      <c r="AD12" s="173">
        <f>+pronostico!O11*10%</f>
        <v>11700.817687494176</v>
      </c>
      <c r="AE12" s="176">
        <f t="shared" si="18"/>
        <v>26209831.619986955</v>
      </c>
      <c r="AF12" s="177">
        <f t="shared" si="18"/>
        <v>13104915.809993478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+pronostico!O12*50%</f>
        <v>47846.214040794352</v>
      </c>
      <c r="G13" s="137">
        <f t="shared" si="13"/>
        <v>110046292.29382701</v>
      </c>
      <c r="H13" s="138">
        <f t="shared" si="13"/>
        <v>55023146.146913506</v>
      </c>
      <c r="I13" s="137">
        <f t="shared" si="14"/>
        <v>23923.107020397176</v>
      </c>
      <c r="J13" s="139">
        <f t="shared" si="15"/>
        <v>14353.864212238304</v>
      </c>
      <c r="K13" s="167">
        <f t="shared" si="0"/>
        <v>4784.6214040794357</v>
      </c>
      <c r="L13" s="168">
        <f t="shared" si="1"/>
        <v>4784.6214040794357</v>
      </c>
      <c r="M13" s="169">
        <f>+pronostico!O12*20%</f>
        <v>19138.485616317743</v>
      </c>
      <c r="N13" s="170">
        <f t="shared" si="2"/>
        <v>44018516.917530805</v>
      </c>
      <c r="O13" s="171">
        <f t="shared" si="3"/>
        <v>22009258.458765402</v>
      </c>
      <c r="P13" s="170">
        <f t="shared" si="16"/>
        <v>9569.2428081588714</v>
      </c>
      <c r="Q13" s="172">
        <f t="shared" si="17"/>
        <v>9569.2428081588714</v>
      </c>
      <c r="R13" s="173">
        <f>+pronostico!O12*8%</f>
        <v>7655.3942465270966</v>
      </c>
      <c r="S13" s="174">
        <f t="shared" si="4"/>
        <v>17607406.76701232</v>
      </c>
      <c r="T13" s="175">
        <f t="shared" si="5"/>
        <v>8803703.3835061602</v>
      </c>
      <c r="U13" s="173">
        <f>+pronostico!O12*8%</f>
        <v>7655.3942465270966</v>
      </c>
      <c r="V13" s="176">
        <f t="shared" si="6"/>
        <v>17607406.76701232</v>
      </c>
      <c r="W13" s="177">
        <f t="shared" si="7"/>
        <v>8803703.3835061602</v>
      </c>
      <c r="X13" s="173">
        <f>+pronostico!O12*2%</f>
        <v>1913.8485616317741</v>
      </c>
      <c r="Y13" s="178">
        <f t="shared" si="8"/>
        <v>4401851.6917530801</v>
      </c>
      <c r="Z13" s="178">
        <f t="shared" si="9"/>
        <v>2200925.8458765401</v>
      </c>
      <c r="AA13" s="173">
        <f>+pronostico!O12*2%</f>
        <v>1913.8485616317741</v>
      </c>
      <c r="AB13" s="179">
        <f t="shared" si="10"/>
        <v>4401851.6917530801</v>
      </c>
      <c r="AC13" s="180">
        <f t="shared" si="11"/>
        <v>2200925.8458765401</v>
      </c>
      <c r="AD13" s="173">
        <f>+pronostico!O12*10%</f>
        <v>9569.2428081588714</v>
      </c>
      <c r="AE13" s="176">
        <f t="shared" si="18"/>
        <v>22009258.458765402</v>
      </c>
      <c r="AF13" s="177">
        <f t="shared" si="18"/>
        <v>11004629.229382701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+pronostico!O13*50%</f>
        <v>30880.526947013528</v>
      </c>
      <c r="G14" s="137">
        <f t="shared" si="13"/>
        <v>38909463.953237042</v>
      </c>
      <c r="H14" s="138">
        <f t="shared" si="13"/>
        <v>19454731.976618521</v>
      </c>
      <c r="I14" s="137">
        <f t="shared" si="14"/>
        <v>15440.263473506764</v>
      </c>
      <c r="J14" s="139">
        <f t="shared" si="15"/>
        <v>9264.1580841040577</v>
      </c>
      <c r="K14" s="167">
        <f t="shared" si="0"/>
        <v>3088.0526947013532</v>
      </c>
      <c r="L14" s="168">
        <f t="shared" si="1"/>
        <v>3088.0526947013532</v>
      </c>
      <c r="M14" s="169">
        <f>+pronostico!O13*20%</f>
        <v>12352.210778805413</v>
      </c>
      <c r="N14" s="170">
        <f t="shared" si="2"/>
        <v>15563785.58129482</v>
      </c>
      <c r="O14" s="171">
        <f t="shared" si="3"/>
        <v>7781892.7906474099</v>
      </c>
      <c r="P14" s="170">
        <f t="shared" si="16"/>
        <v>6176.1053894027064</v>
      </c>
      <c r="Q14" s="172">
        <f t="shared" si="17"/>
        <v>6176.1053894027064</v>
      </c>
      <c r="R14" s="173">
        <f>+pronostico!O13*8%</f>
        <v>4940.8843115221644</v>
      </c>
      <c r="S14" s="174">
        <f t="shared" si="4"/>
        <v>6225514.232517927</v>
      </c>
      <c r="T14" s="175">
        <f t="shared" si="5"/>
        <v>3112757.1162589635</v>
      </c>
      <c r="U14" s="173">
        <f>+pronostico!O13*8%</f>
        <v>4940.8843115221644</v>
      </c>
      <c r="V14" s="176">
        <f t="shared" si="6"/>
        <v>6225514.232517927</v>
      </c>
      <c r="W14" s="177">
        <f t="shared" si="7"/>
        <v>3112757.1162589635</v>
      </c>
      <c r="X14" s="173">
        <f>+pronostico!O13*2%</f>
        <v>1235.2210778805411</v>
      </c>
      <c r="Y14" s="178">
        <f t="shared" si="8"/>
        <v>1556378.5581294817</v>
      </c>
      <c r="Z14" s="178">
        <f t="shared" si="9"/>
        <v>778189.27906474087</v>
      </c>
      <c r="AA14" s="173">
        <f>+pronostico!O13*2%</f>
        <v>1235.2210778805411</v>
      </c>
      <c r="AB14" s="179">
        <f t="shared" si="10"/>
        <v>1556378.5581294817</v>
      </c>
      <c r="AC14" s="180">
        <f t="shared" si="11"/>
        <v>778189.27906474087</v>
      </c>
      <c r="AD14" s="173">
        <f>+pronostico!O13*10%</f>
        <v>6176.1053894027064</v>
      </c>
      <c r="AE14" s="176">
        <f t="shared" si="18"/>
        <v>7781892.7906474099</v>
      </c>
      <c r="AF14" s="177">
        <f t="shared" si="18"/>
        <v>3890946.3953237049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+pronostico!O14*50%</f>
        <v>24228.191744452026</v>
      </c>
      <c r="G15" s="137">
        <f t="shared" si="13"/>
        <v>30527521.598009553</v>
      </c>
      <c r="H15" s="138">
        <f t="shared" si="13"/>
        <v>15263760.799004776</v>
      </c>
      <c r="I15" s="137">
        <f t="shared" si="14"/>
        <v>12114.095872226013</v>
      </c>
      <c r="J15" s="139">
        <f t="shared" si="15"/>
        <v>7268.4575233356072</v>
      </c>
      <c r="K15" s="167">
        <f t="shared" si="0"/>
        <v>2422.8191744452029</v>
      </c>
      <c r="L15" s="168">
        <f t="shared" si="1"/>
        <v>2422.8191744452029</v>
      </c>
      <c r="M15" s="169">
        <f>+pronostico!O14*20%</f>
        <v>9691.2766977808114</v>
      </c>
      <c r="N15" s="170">
        <f t="shared" si="2"/>
        <v>12211008.639203822</v>
      </c>
      <c r="O15" s="171">
        <f t="shared" si="3"/>
        <v>6105504.3196019111</v>
      </c>
      <c r="P15" s="170">
        <f t="shared" si="16"/>
        <v>4845.6383488904057</v>
      </c>
      <c r="Q15" s="172">
        <f t="shared" si="17"/>
        <v>4845.6383488904057</v>
      </c>
      <c r="R15" s="173">
        <f>+pronostico!O14*8%</f>
        <v>3876.5106791123244</v>
      </c>
      <c r="S15" s="174">
        <f t="shared" si="4"/>
        <v>4884403.4556815289</v>
      </c>
      <c r="T15" s="175">
        <f t="shared" si="5"/>
        <v>2442201.7278407644</v>
      </c>
      <c r="U15" s="173">
        <f>+pronostico!O14*8%</f>
        <v>3876.5106791123244</v>
      </c>
      <c r="V15" s="176">
        <f t="shared" si="6"/>
        <v>4884403.4556815289</v>
      </c>
      <c r="W15" s="177">
        <f t="shared" si="7"/>
        <v>2442201.7278407644</v>
      </c>
      <c r="X15" s="173">
        <f>+pronostico!O14*2%</f>
        <v>969.1276697780811</v>
      </c>
      <c r="Y15" s="178">
        <f t="shared" si="8"/>
        <v>1221100.8639203822</v>
      </c>
      <c r="Z15" s="178">
        <f t="shared" si="9"/>
        <v>610550.43196019111</v>
      </c>
      <c r="AA15" s="173">
        <f>+pronostico!O14*2%</f>
        <v>969.1276697780811</v>
      </c>
      <c r="AB15" s="179">
        <f t="shared" si="10"/>
        <v>1221100.8639203822</v>
      </c>
      <c r="AC15" s="180">
        <f t="shared" si="11"/>
        <v>610550.43196019111</v>
      </c>
      <c r="AD15" s="173">
        <f>+pronostico!O14*10%</f>
        <v>4845.6383488904057</v>
      </c>
      <c r="AE15" s="176">
        <f t="shared" si="18"/>
        <v>6105504.3196019111</v>
      </c>
      <c r="AF15" s="177">
        <f t="shared" si="18"/>
        <v>3052752.1598009556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+pronostico!O15*50%</f>
        <v>35419.592353682972</v>
      </c>
      <c r="G16" s="137">
        <f t="shared" si="13"/>
        <v>95987095.278480858</v>
      </c>
      <c r="H16" s="138">
        <f t="shared" si="13"/>
        <v>47993547.639240429</v>
      </c>
      <c r="I16" s="137">
        <f t="shared" si="14"/>
        <v>17709.796176841486</v>
      </c>
      <c r="J16" s="139">
        <f t="shared" si="15"/>
        <v>10625.877706104891</v>
      </c>
      <c r="K16" s="167">
        <f t="shared" si="0"/>
        <v>3541.9592353682974</v>
      </c>
      <c r="L16" s="168">
        <f t="shared" si="1"/>
        <v>3541.9592353682974</v>
      </c>
      <c r="M16" s="169">
        <f>+pronostico!O15*20%</f>
        <v>14167.83694147319</v>
      </c>
      <c r="N16" s="170">
        <f t="shared" si="2"/>
        <v>38394838.111392342</v>
      </c>
      <c r="O16" s="171">
        <f t="shared" si="3"/>
        <v>19197419.055696171</v>
      </c>
      <c r="P16" s="170">
        <f t="shared" si="16"/>
        <v>7083.9184707365948</v>
      </c>
      <c r="Q16" s="172">
        <f t="shared" si="17"/>
        <v>7083.9184707365948</v>
      </c>
      <c r="R16" s="173">
        <f>+pronostico!O15*8%</f>
        <v>5667.134776589276</v>
      </c>
      <c r="S16" s="174">
        <f t="shared" si="4"/>
        <v>15357935.244556937</v>
      </c>
      <c r="T16" s="175">
        <f t="shared" si="5"/>
        <v>7678967.6222784687</v>
      </c>
      <c r="U16" s="173">
        <f>+pronostico!O15*8%</f>
        <v>5667.134776589276</v>
      </c>
      <c r="V16" s="176">
        <f t="shared" si="6"/>
        <v>15357935.244556937</v>
      </c>
      <c r="W16" s="177">
        <f t="shared" si="7"/>
        <v>7678967.6222784687</v>
      </c>
      <c r="X16" s="173">
        <f>+pronostico!O15*2%</f>
        <v>1416.783694147319</v>
      </c>
      <c r="Y16" s="178">
        <f t="shared" si="8"/>
        <v>3839483.8111392343</v>
      </c>
      <c r="Z16" s="178">
        <f t="shared" si="9"/>
        <v>1919741.9055696172</v>
      </c>
      <c r="AA16" s="173">
        <f>+pronostico!O15*2%</f>
        <v>1416.783694147319</v>
      </c>
      <c r="AB16" s="179">
        <f t="shared" si="10"/>
        <v>3839483.8111392343</v>
      </c>
      <c r="AC16" s="180">
        <f t="shared" si="11"/>
        <v>1919741.9055696172</v>
      </c>
      <c r="AD16" s="173">
        <f>+pronostico!O15*10%</f>
        <v>7083.9184707365948</v>
      </c>
      <c r="AE16" s="176">
        <f t="shared" si="18"/>
        <v>19197419.055696171</v>
      </c>
      <c r="AF16" s="177">
        <f t="shared" si="18"/>
        <v>9598709.5278480854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+pronostico!O16*50%</f>
        <v>34898.71599554053</v>
      </c>
      <c r="G17" s="137">
        <f t="shared" si="13"/>
        <v>51650099.673399985</v>
      </c>
      <c r="H17" s="138">
        <f t="shared" si="13"/>
        <v>25825049.836699992</v>
      </c>
      <c r="I17" s="137">
        <f t="shared" si="14"/>
        <v>17449.357997770265</v>
      </c>
      <c r="J17" s="139">
        <f t="shared" si="15"/>
        <v>10469.614798662158</v>
      </c>
      <c r="K17" s="167">
        <f t="shared" si="0"/>
        <v>3489.8715995540533</v>
      </c>
      <c r="L17" s="168">
        <f t="shared" si="1"/>
        <v>3489.8715995540533</v>
      </c>
      <c r="M17" s="169">
        <f>+pronostico!O16*20%</f>
        <v>13959.486398216213</v>
      </c>
      <c r="N17" s="170">
        <f t="shared" si="2"/>
        <v>20660039.869359996</v>
      </c>
      <c r="O17" s="171">
        <f t="shared" si="3"/>
        <v>10330019.934679998</v>
      </c>
      <c r="P17" s="170">
        <f t="shared" si="16"/>
        <v>6979.7431991081066</v>
      </c>
      <c r="Q17" s="172">
        <f t="shared" si="17"/>
        <v>6979.7431991081066</v>
      </c>
      <c r="R17" s="173">
        <f>+pronostico!O16*8%</f>
        <v>5583.7945592864844</v>
      </c>
      <c r="S17" s="174">
        <f t="shared" si="4"/>
        <v>8264015.947743997</v>
      </c>
      <c r="T17" s="175">
        <f t="shared" si="5"/>
        <v>4132007.9738719985</v>
      </c>
      <c r="U17" s="173">
        <f>+pronostico!O16*8%</f>
        <v>5583.7945592864844</v>
      </c>
      <c r="V17" s="176">
        <f t="shared" si="6"/>
        <v>8264015.947743997</v>
      </c>
      <c r="W17" s="177">
        <f t="shared" si="7"/>
        <v>4132007.9738719985</v>
      </c>
      <c r="X17" s="173">
        <f>+pronostico!O16*2%</f>
        <v>1395.9486398216211</v>
      </c>
      <c r="Y17" s="178">
        <f t="shared" si="8"/>
        <v>2066003.9869359992</v>
      </c>
      <c r="Z17" s="178">
        <f t="shared" si="9"/>
        <v>1033001.9934679996</v>
      </c>
      <c r="AA17" s="173">
        <f>+pronostico!O16*2%</f>
        <v>1395.9486398216211</v>
      </c>
      <c r="AB17" s="179">
        <f t="shared" si="10"/>
        <v>2066003.9869359992</v>
      </c>
      <c r="AC17" s="180">
        <f t="shared" si="11"/>
        <v>1033001.9934679996</v>
      </c>
      <c r="AD17" s="173">
        <f>+pronostico!O16*10%</f>
        <v>6979.7431991081066</v>
      </c>
      <c r="AE17" s="176">
        <f t="shared" si="18"/>
        <v>10330019.934679998</v>
      </c>
      <c r="AF17" s="177">
        <f t="shared" si="18"/>
        <v>5165009.967339999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+pronostico!O17*50%</f>
        <v>67149.313612890299</v>
      </c>
      <c r="G18" s="137">
        <f t="shared" si="13"/>
        <v>158472380.12642109</v>
      </c>
      <c r="H18" s="138">
        <f t="shared" si="13"/>
        <v>79236190.063210547</v>
      </c>
      <c r="I18" s="137">
        <f t="shared" si="14"/>
        <v>33574.656806445149</v>
      </c>
      <c r="J18" s="139">
        <f t="shared" si="15"/>
        <v>20144.794083867087</v>
      </c>
      <c r="K18" s="167">
        <f t="shared" si="0"/>
        <v>6714.9313612890301</v>
      </c>
      <c r="L18" s="168">
        <f t="shared" si="1"/>
        <v>6714.9313612890301</v>
      </c>
      <c r="M18" s="169">
        <f>+pronostico!O17*20%</f>
        <v>26859.72544515612</v>
      </c>
      <c r="N18" s="170">
        <f t="shared" si="2"/>
        <v>63388952.050568447</v>
      </c>
      <c r="O18" s="171">
        <f t="shared" si="3"/>
        <v>31694476.025284223</v>
      </c>
      <c r="P18" s="170">
        <f t="shared" si="16"/>
        <v>13429.86272257806</v>
      </c>
      <c r="Q18" s="172">
        <f t="shared" si="17"/>
        <v>13429.86272257806</v>
      </c>
      <c r="R18" s="173">
        <f>+pronostico!O17*8%</f>
        <v>10743.890178062447</v>
      </c>
      <c r="S18" s="174">
        <f t="shared" si="4"/>
        <v>25355580.820227377</v>
      </c>
      <c r="T18" s="175">
        <f t="shared" si="5"/>
        <v>12677790.410113689</v>
      </c>
      <c r="U18" s="173">
        <f>+pronostico!O17*8%</f>
        <v>10743.890178062447</v>
      </c>
      <c r="V18" s="176">
        <f t="shared" si="6"/>
        <v>25355580.820227377</v>
      </c>
      <c r="W18" s="177">
        <f t="shared" si="7"/>
        <v>12677790.410113689</v>
      </c>
      <c r="X18" s="173">
        <f>+pronostico!O17*2%</f>
        <v>2685.9725445156118</v>
      </c>
      <c r="Y18" s="178">
        <f t="shared" si="8"/>
        <v>6338895.2050568443</v>
      </c>
      <c r="Z18" s="178">
        <f t="shared" si="9"/>
        <v>3169447.6025284221</v>
      </c>
      <c r="AA18" s="173">
        <f>+pronostico!O17*2%</f>
        <v>2685.9725445156118</v>
      </c>
      <c r="AB18" s="179">
        <f t="shared" si="10"/>
        <v>6338895.2050568443</v>
      </c>
      <c r="AC18" s="180">
        <f t="shared" si="11"/>
        <v>3169447.6025284221</v>
      </c>
      <c r="AD18" s="173">
        <f>+pronostico!O17*10%</f>
        <v>13429.86272257806</v>
      </c>
      <c r="AE18" s="176">
        <f t="shared" si="18"/>
        <v>31694476.025284223</v>
      </c>
      <c r="AF18" s="177">
        <f t="shared" si="18"/>
        <v>15847238.012642112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+pronostico!O18*50%</f>
        <v>15677.9563846653</v>
      </c>
      <c r="G19" s="137">
        <f t="shared" si="13"/>
        <v>78389781.923326507</v>
      </c>
      <c r="H19" s="138">
        <f t="shared" si="13"/>
        <v>31355912.769330606</v>
      </c>
      <c r="I19" s="137">
        <f>+F19*60%</f>
        <v>9406.7738307991804</v>
      </c>
      <c r="J19" s="139">
        <f t="shared" si="15"/>
        <v>4703.3869153995902</v>
      </c>
      <c r="K19" s="167">
        <f t="shared" si="0"/>
        <v>1567.7956384665301</v>
      </c>
      <c r="L19" s="168" t="s">
        <v>21</v>
      </c>
      <c r="M19" s="169">
        <f>+pronostico!O18*20%</f>
        <v>6271.1825538661205</v>
      </c>
      <c r="N19" s="170">
        <f t="shared" si="2"/>
        <v>31355912.769330602</v>
      </c>
      <c r="O19" s="171">
        <f t="shared" si="3"/>
        <v>12542365.107732242</v>
      </c>
      <c r="P19" s="170">
        <f t="shared" si="16"/>
        <v>3135.5912769330603</v>
      </c>
      <c r="Q19" s="172">
        <f t="shared" si="17"/>
        <v>3135.5912769330603</v>
      </c>
      <c r="R19" s="173">
        <f>+pronostico!O18*8%</f>
        <v>2508.4730215464479</v>
      </c>
      <c r="S19" s="174">
        <f t="shared" si="4"/>
        <v>12542365.10773224</v>
      </c>
      <c r="T19" s="175">
        <f t="shared" si="5"/>
        <v>5016946.0430928962</v>
      </c>
      <c r="U19" s="173">
        <f>+pronostico!O18*8%</f>
        <v>2508.4730215464479</v>
      </c>
      <c r="V19" s="176">
        <f t="shared" si="6"/>
        <v>12542365.10773224</v>
      </c>
      <c r="W19" s="177">
        <f t="shared" si="7"/>
        <v>5016946.0430928962</v>
      </c>
      <c r="X19" s="173">
        <f>+pronostico!O18*2%</f>
        <v>627.11825538661196</v>
      </c>
      <c r="Y19" s="178">
        <f t="shared" si="8"/>
        <v>3135591.27693306</v>
      </c>
      <c r="Z19" s="178">
        <f t="shared" si="9"/>
        <v>1254236.5107732241</v>
      </c>
      <c r="AA19" s="173">
        <f>+pronostico!O18*2%</f>
        <v>627.11825538661196</v>
      </c>
      <c r="AB19" s="179">
        <f t="shared" si="10"/>
        <v>3135591.27693306</v>
      </c>
      <c r="AC19" s="180">
        <f t="shared" si="11"/>
        <v>1254236.5107732241</v>
      </c>
      <c r="AD19" s="173">
        <f>+pronostico!O18*10%</f>
        <v>3135.5912769330603</v>
      </c>
      <c r="AE19" s="176">
        <f t="shared" si="18"/>
        <v>15677956.384665301</v>
      </c>
      <c r="AF19" s="177">
        <f t="shared" si="18"/>
        <v>6271182.553866121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+pronostico!O19*50%</f>
        <v>11301.795885006</v>
      </c>
      <c r="G20" s="137">
        <f t="shared" si="13"/>
        <v>40573447.22717154</v>
      </c>
      <c r="H20" s="138">
        <f t="shared" si="13"/>
        <v>16229378.890868617</v>
      </c>
      <c r="I20" s="137">
        <f t="shared" si="14"/>
        <v>5650.8979425030002</v>
      </c>
      <c r="J20" s="139">
        <f t="shared" si="15"/>
        <v>3390.5387655017998</v>
      </c>
      <c r="K20" s="167">
        <f t="shared" si="0"/>
        <v>1130.1795885006002</v>
      </c>
      <c r="L20" s="168">
        <f>+F20*10%</f>
        <v>1130.1795885006002</v>
      </c>
      <c r="M20" s="169">
        <f>+pronostico!O19*20%</f>
        <v>4520.7183540024007</v>
      </c>
      <c r="N20" s="170">
        <f t="shared" si="2"/>
        <v>16229378.890868619</v>
      </c>
      <c r="O20" s="171">
        <f t="shared" si="3"/>
        <v>6491751.5563474484</v>
      </c>
      <c r="P20" s="170">
        <f t="shared" si="16"/>
        <v>2260.3591770012004</v>
      </c>
      <c r="Q20" s="172">
        <f t="shared" si="17"/>
        <v>2260.3591770012004</v>
      </c>
      <c r="R20" s="173">
        <f>+pronostico!O19*8%</f>
        <v>1808.2873416009602</v>
      </c>
      <c r="S20" s="174">
        <f t="shared" si="4"/>
        <v>6491751.5563474474</v>
      </c>
      <c r="T20" s="175">
        <f t="shared" si="5"/>
        <v>2596700.6225389792</v>
      </c>
      <c r="U20" s="173">
        <f>+pronostico!O19*8%</f>
        <v>1808.2873416009602</v>
      </c>
      <c r="V20" s="176">
        <f t="shared" si="6"/>
        <v>6491751.5563474474</v>
      </c>
      <c r="W20" s="177">
        <f t="shared" si="7"/>
        <v>2596700.6225389792</v>
      </c>
      <c r="X20" s="173">
        <f>+pronostico!O19*2%</f>
        <v>452.07183540024005</v>
      </c>
      <c r="Y20" s="178">
        <f t="shared" si="8"/>
        <v>1622937.8890868619</v>
      </c>
      <c r="Z20" s="178">
        <f t="shared" si="9"/>
        <v>649175.15563474479</v>
      </c>
      <c r="AA20" s="173">
        <f>+pronostico!O19*2%</f>
        <v>452.07183540024005</v>
      </c>
      <c r="AB20" s="179">
        <f t="shared" si="10"/>
        <v>1622937.8890868619</v>
      </c>
      <c r="AC20" s="180">
        <f t="shared" si="11"/>
        <v>649175.15563474479</v>
      </c>
      <c r="AD20" s="173">
        <f>+pronostico!O19*10%</f>
        <v>2260.3591770012004</v>
      </c>
      <c r="AE20" s="176">
        <f t="shared" si="18"/>
        <v>8114689.4454343095</v>
      </c>
      <c r="AF20" s="177">
        <f t="shared" si="18"/>
        <v>3245875.7781737242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+pronostico!O20*50%</f>
        <v>10776.130960122002</v>
      </c>
      <c r="G21" s="137">
        <f t="shared" si="13"/>
        <v>132869694.73830429</v>
      </c>
      <c r="H21" s="138">
        <f t="shared" si="13"/>
        <v>53147877.895321719</v>
      </c>
      <c r="I21" s="137">
        <f>+F21*60%</f>
        <v>6465.6785760732009</v>
      </c>
      <c r="J21" s="139">
        <f t="shared" si="15"/>
        <v>3232.8392880366005</v>
      </c>
      <c r="K21" s="167">
        <f t="shared" si="0"/>
        <v>1077.6130960122002</v>
      </c>
      <c r="L21" s="168" t="s">
        <v>21</v>
      </c>
      <c r="M21" s="169">
        <f>+pronostico!O20*20%</f>
        <v>4310.4523840488009</v>
      </c>
      <c r="N21" s="170">
        <f t="shared" si="2"/>
        <v>53147877.895321712</v>
      </c>
      <c r="O21" s="171">
        <f t="shared" si="3"/>
        <v>21259151.158128686</v>
      </c>
      <c r="P21" s="170">
        <f t="shared" si="16"/>
        <v>2155.2261920244005</v>
      </c>
      <c r="Q21" s="172">
        <f t="shared" si="17"/>
        <v>2155.2261920244005</v>
      </c>
      <c r="R21" s="173">
        <f>+pronostico!O20*8%</f>
        <v>1724.1809536195203</v>
      </c>
      <c r="S21" s="174">
        <f t="shared" si="4"/>
        <v>21259151.158128686</v>
      </c>
      <c r="T21" s="175">
        <f t="shared" si="5"/>
        <v>8503660.4632514752</v>
      </c>
      <c r="U21" s="173">
        <f>+pronostico!O20*8%</f>
        <v>1724.1809536195203</v>
      </c>
      <c r="V21" s="176">
        <f t="shared" si="6"/>
        <v>21259151.158128686</v>
      </c>
      <c r="W21" s="177">
        <f t="shared" si="7"/>
        <v>8503660.4632514752</v>
      </c>
      <c r="X21" s="173">
        <f>+pronostico!O20*2%</f>
        <v>431.04523840488008</v>
      </c>
      <c r="Y21" s="178">
        <f t="shared" si="8"/>
        <v>5314787.7895321716</v>
      </c>
      <c r="Z21" s="178">
        <f t="shared" si="9"/>
        <v>2125915.1158128688</v>
      </c>
      <c r="AA21" s="173">
        <f>+pronostico!O20*2%</f>
        <v>431.04523840488008</v>
      </c>
      <c r="AB21" s="179">
        <f t="shared" si="10"/>
        <v>5314787.7895321716</v>
      </c>
      <c r="AC21" s="180">
        <f t="shared" si="11"/>
        <v>2125915.1158128688</v>
      </c>
      <c r="AD21" s="173">
        <f>+pronostico!O20*10%</f>
        <v>2155.2261920244005</v>
      </c>
      <c r="AE21" s="176">
        <f t="shared" ref="AE21:AF36" si="20">+AD21*D21</f>
        <v>26573938.947660856</v>
      </c>
      <c r="AF21" s="177">
        <f t="shared" si="20"/>
        <v>10629575.579064343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+pronostico!O21*50%</f>
        <v>9448.8270247899</v>
      </c>
      <c r="G22" s="137">
        <f t="shared" si="13"/>
        <v>70677226.145428449</v>
      </c>
      <c r="H22" s="138">
        <f t="shared" si="13"/>
        <v>28270890.458171383</v>
      </c>
      <c r="I22" s="137">
        <f t="shared" ref="I22:I51" si="21">+F22*60%</f>
        <v>5669.2962148739398</v>
      </c>
      <c r="J22" s="139">
        <f t="shared" si="15"/>
        <v>2834.6481074369699</v>
      </c>
      <c r="K22" s="167">
        <f t="shared" si="0"/>
        <v>944.88270247899004</v>
      </c>
      <c r="L22" s="168" t="s">
        <v>21</v>
      </c>
      <c r="M22" s="169">
        <f>+pronostico!O21*20%</f>
        <v>3779.5308099159602</v>
      </c>
      <c r="N22" s="170">
        <f t="shared" si="2"/>
        <v>28270890.458171383</v>
      </c>
      <c r="O22" s="171">
        <f t="shared" si="3"/>
        <v>11308356.183268555</v>
      </c>
      <c r="P22" s="170">
        <f t="shared" si="16"/>
        <v>1889.7654049579801</v>
      </c>
      <c r="Q22" s="172">
        <f t="shared" si="17"/>
        <v>1889.7654049579801</v>
      </c>
      <c r="R22" s="173">
        <f>+pronostico!O21*8%</f>
        <v>1511.8123239663839</v>
      </c>
      <c r="S22" s="174">
        <f t="shared" si="4"/>
        <v>11308356.183268553</v>
      </c>
      <c r="T22" s="175">
        <f t="shared" si="5"/>
        <v>4523342.4733074214</v>
      </c>
      <c r="U22" s="173">
        <f>+pronostico!O21*8%</f>
        <v>1511.8123239663839</v>
      </c>
      <c r="V22" s="176">
        <f t="shared" si="6"/>
        <v>11308356.183268553</v>
      </c>
      <c r="W22" s="177">
        <f t="shared" si="7"/>
        <v>4523342.4733074214</v>
      </c>
      <c r="X22" s="173">
        <f>+pronostico!O21*2%</f>
        <v>377.95308099159598</v>
      </c>
      <c r="Y22" s="178">
        <f t="shared" si="8"/>
        <v>2827089.0458171382</v>
      </c>
      <c r="Z22" s="178">
        <f t="shared" si="9"/>
        <v>1130835.6183268554</v>
      </c>
      <c r="AA22" s="173">
        <f>+pronostico!O21*2%</f>
        <v>377.95308099159598</v>
      </c>
      <c r="AB22" s="179">
        <f t="shared" si="10"/>
        <v>2827089.0458171382</v>
      </c>
      <c r="AC22" s="180">
        <f t="shared" si="11"/>
        <v>1130835.6183268554</v>
      </c>
      <c r="AD22" s="173">
        <f>+pronostico!O21*10%</f>
        <v>1889.7654049579801</v>
      </c>
      <c r="AE22" s="176">
        <f t="shared" si="20"/>
        <v>14135445.229085691</v>
      </c>
      <c r="AF22" s="177">
        <f t="shared" si="20"/>
        <v>5654178.0916342773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+pronostico!O22*50%</f>
        <v>6395.5899194220001</v>
      </c>
      <c r="G23" s="137">
        <f t="shared" si="13"/>
        <v>26221918.6696302</v>
      </c>
      <c r="H23" s="138">
        <f t="shared" si="13"/>
        <v>10488767.46785208</v>
      </c>
      <c r="I23" s="137">
        <f t="shared" si="21"/>
        <v>3837.3539516532001</v>
      </c>
      <c r="J23" s="139">
        <f t="shared" si="15"/>
        <v>1918.6769758266</v>
      </c>
      <c r="K23" s="167">
        <f t="shared" si="0"/>
        <v>639.55899194220001</v>
      </c>
      <c r="L23" s="168" t="s">
        <v>21</v>
      </c>
      <c r="M23" s="169">
        <f>+pronostico!O22*20%</f>
        <v>2558.2359677688</v>
      </c>
      <c r="N23" s="170">
        <f t="shared" si="2"/>
        <v>10488767.46785208</v>
      </c>
      <c r="O23" s="171">
        <f t="shared" si="3"/>
        <v>4195506.9871408325</v>
      </c>
      <c r="P23" s="170">
        <f t="shared" si="16"/>
        <v>1279.1179838844</v>
      </c>
      <c r="Q23" s="172">
        <f t="shared" si="17"/>
        <v>1279.1179838844</v>
      </c>
      <c r="R23" s="173">
        <f>+pronostico!O22*8%</f>
        <v>1023.29438710752</v>
      </c>
      <c r="S23" s="174">
        <f t="shared" si="4"/>
        <v>4195506.9871408325</v>
      </c>
      <c r="T23" s="175">
        <f t="shared" si="5"/>
        <v>1678202.7948563332</v>
      </c>
      <c r="U23" s="173">
        <f>+pronostico!O22*8%</f>
        <v>1023.29438710752</v>
      </c>
      <c r="V23" s="176">
        <f t="shared" si="6"/>
        <v>4195506.9871408325</v>
      </c>
      <c r="W23" s="177">
        <f t="shared" si="7"/>
        <v>1678202.7948563332</v>
      </c>
      <c r="X23" s="173">
        <f>+pronostico!O22*2%</f>
        <v>255.82359677688001</v>
      </c>
      <c r="Y23" s="178">
        <f t="shared" si="8"/>
        <v>1048876.7467852081</v>
      </c>
      <c r="Z23" s="178">
        <f t="shared" si="9"/>
        <v>419550.69871408329</v>
      </c>
      <c r="AA23" s="173">
        <f>+pronostico!O22*2%</f>
        <v>255.82359677688001</v>
      </c>
      <c r="AB23" s="179">
        <f t="shared" si="10"/>
        <v>1048876.7467852081</v>
      </c>
      <c r="AC23" s="180">
        <f t="shared" si="11"/>
        <v>419550.69871408329</v>
      </c>
      <c r="AD23" s="173">
        <f>+pronostico!O22*10%</f>
        <v>1279.1179838844</v>
      </c>
      <c r="AE23" s="176">
        <f t="shared" si="20"/>
        <v>5244383.7339260401</v>
      </c>
      <c r="AF23" s="177">
        <f t="shared" si="20"/>
        <v>2097753.4935704162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+pronostico!O23*50%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+pronostico!O23*20%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+pronostico!O23*8%</f>
        <v>2000</v>
      </c>
      <c r="S24" s="174">
        <f t="shared" si="4"/>
        <v>6600000</v>
      </c>
      <c r="T24" s="175">
        <f t="shared" si="5"/>
        <v>3300000</v>
      </c>
      <c r="U24" s="173">
        <f>+pronostico!O23*8%</f>
        <v>2000</v>
      </c>
      <c r="V24" s="176">
        <f t="shared" si="6"/>
        <v>6600000</v>
      </c>
      <c r="W24" s="177">
        <f t="shared" si="7"/>
        <v>3300000</v>
      </c>
      <c r="X24" s="173">
        <f>+pronostico!O23*2%</f>
        <v>500</v>
      </c>
      <c r="Y24" s="178">
        <f t="shared" si="8"/>
        <v>1650000</v>
      </c>
      <c r="Z24" s="178">
        <f t="shared" si="9"/>
        <v>825000</v>
      </c>
      <c r="AA24" s="173">
        <f>+pronostico!O23*2%</f>
        <v>500</v>
      </c>
      <c r="AB24" s="179">
        <f t="shared" si="10"/>
        <v>1650000</v>
      </c>
      <c r="AC24" s="180">
        <f t="shared" si="11"/>
        <v>825000</v>
      </c>
      <c r="AD24" s="173">
        <f>+pronostico!O23*10%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+pronostico!O24*50%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+pronostico!O24*20%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+pronostico!O24*8%</f>
        <v>2400</v>
      </c>
      <c r="S25" s="174">
        <f t="shared" si="4"/>
        <v>7200000</v>
      </c>
      <c r="T25" s="175">
        <f t="shared" si="5"/>
        <v>3600000</v>
      </c>
      <c r="U25" s="173">
        <f>+pronostico!O24*8%</f>
        <v>2400</v>
      </c>
      <c r="V25" s="176">
        <f t="shared" si="6"/>
        <v>7200000</v>
      </c>
      <c r="W25" s="177">
        <f t="shared" si="7"/>
        <v>3600000</v>
      </c>
      <c r="X25" s="173">
        <f>+pronostico!O24*2%</f>
        <v>600</v>
      </c>
      <c r="Y25" s="178">
        <f t="shared" si="8"/>
        <v>1800000</v>
      </c>
      <c r="Z25" s="178">
        <f t="shared" si="9"/>
        <v>900000</v>
      </c>
      <c r="AA25" s="173">
        <f>+pronostico!O24*2%</f>
        <v>600</v>
      </c>
      <c r="AB25" s="179">
        <f t="shared" si="10"/>
        <v>1800000</v>
      </c>
      <c r="AC25" s="180">
        <f t="shared" si="11"/>
        <v>900000</v>
      </c>
      <c r="AD25" s="173">
        <f>+pronostico!O24*10%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+pronostico!O25*50%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+pronostico!O25*20%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+pronostico!O25*8%</f>
        <v>3200</v>
      </c>
      <c r="S26" s="174">
        <f t="shared" si="4"/>
        <v>12160000</v>
      </c>
      <c r="T26" s="175">
        <f t="shared" si="5"/>
        <v>4864000</v>
      </c>
      <c r="U26" s="173">
        <f>+pronostico!O25*8%</f>
        <v>3200</v>
      </c>
      <c r="V26" s="176">
        <f t="shared" si="6"/>
        <v>12160000</v>
      </c>
      <c r="W26" s="177">
        <f t="shared" si="7"/>
        <v>4864000</v>
      </c>
      <c r="X26" s="173">
        <f>+pronostico!O25*2%</f>
        <v>800</v>
      </c>
      <c r="Y26" s="178">
        <f t="shared" si="8"/>
        <v>3040000</v>
      </c>
      <c r="Z26" s="178">
        <f t="shared" si="9"/>
        <v>1216000</v>
      </c>
      <c r="AA26" s="173">
        <f>+pronostico!O25*2%</f>
        <v>800</v>
      </c>
      <c r="AB26" s="179">
        <f t="shared" si="10"/>
        <v>3040000</v>
      </c>
      <c r="AC26" s="180">
        <f t="shared" si="11"/>
        <v>1216000</v>
      </c>
      <c r="AD26" s="173">
        <f>+pronostico!O25*10%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+pronostico!O26*50%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+pronostico!O26*20%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+pronostico!O26*8%</f>
        <v>4800</v>
      </c>
      <c r="S27" s="174">
        <f t="shared" si="4"/>
        <v>11040000</v>
      </c>
      <c r="T27" s="175">
        <f t="shared" si="5"/>
        <v>5520000</v>
      </c>
      <c r="U27" s="173">
        <f>+pronostico!O26*8%</f>
        <v>4800</v>
      </c>
      <c r="V27" s="176">
        <f t="shared" si="6"/>
        <v>11040000</v>
      </c>
      <c r="W27" s="177">
        <f t="shared" si="7"/>
        <v>5520000</v>
      </c>
      <c r="X27" s="173">
        <f>+pronostico!O26*2%</f>
        <v>1200</v>
      </c>
      <c r="Y27" s="178">
        <f t="shared" si="8"/>
        <v>2760000</v>
      </c>
      <c r="Z27" s="178">
        <f t="shared" si="9"/>
        <v>1380000</v>
      </c>
      <c r="AA27" s="173">
        <f>+pronostico!O26*2%</f>
        <v>1200</v>
      </c>
      <c r="AB27" s="179">
        <f t="shared" si="10"/>
        <v>2760000</v>
      </c>
      <c r="AC27" s="180">
        <f t="shared" si="11"/>
        <v>1380000</v>
      </c>
      <c r="AD27" s="173">
        <f>+pronostico!O26*10%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+pronostico!O27*50%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+pronostico!O27*20%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+pronostico!O27*8%</f>
        <v>2400</v>
      </c>
      <c r="S28" s="174">
        <f t="shared" si="4"/>
        <v>9360000</v>
      </c>
      <c r="T28" s="175">
        <f t="shared" si="5"/>
        <v>3744000</v>
      </c>
      <c r="U28" s="173">
        <f>+pronostico!O27*8%</f>
        <v>2400</v>
      </c>
      <c r="V28" s="176">
        <f t="shared" si="6"/>
        <v>9360000</v>
      </c>
      <c r="W28" s="177">
        <f t="shared" si="7"/>
        <v>3744000</v>
      </c>
      <c r="X28" s="173">
        <f>+pronostico!O27*2%</f>
        <v>600</v>
      </c>
      <c r="Y28" s="178">
        <f t="shared" si="8"/>
        <v>2340000</v>
      </c>
      <c r="Z28" s="178">
        <f t="shared" si="9"/>
        <v>936000</v>
      </c>
      <c r="AA28" s="173">
        <f>+pronostico!O27*2%</f>
        <v>600</v>
      </c>
      <c r="AB28" s="179">
        <f t="shared" si="10"/>
        <v>2340000</v>
      </c>
      <c r="AC28" s="180">
        <f t="shared" si="11"/>
        <v>936000</v>
      </c>
      <c r="AD28" s="173">
        <f>+pronostico!O27*10%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+pronostico!O28*50%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+pronostico!O28*20%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+pronostico!O28*8%</f>
        <v>5200</v>
      </c>
      <c r="S29" s="174">
        <f t="shared" si="4"/>
        <v>15600000</v>
      </c>
      <c r="T29" s="175">
        <f t="shared" si="5"/>
        <v>7800000</v>
      </c>
      <c r="U29" s="173">
        <f>+pronostico!O28*8%</f>
        <v>5200</v>
      </c>
      <c r="V29" s="176">
        <f t="shared" si="6"/>
        <v>15600000</v>
      </c>
      <c r="W29" s="177">
        <f t="shared" si="7"/>
        <v>7800000</v>
      </c>
      <c r="X29" s="173">
        <f>+pronostico!O28*2%</f>
        <v>1300</v>
      </c>
      <c r="Y29" s="178">
        <f t="shared" si="8"/>
        <v>3900000</v>
      </c>
      <c r="Z29" s="178">
        <f t="shared" si="9"/>
        <v>1950000</v>
      </c>
      <c r="AA29" s="173">
        <f>+pronostico!O28*2%</f>
        <v>1300</v>
      </c>
      <c r="AB29" s="179">
        <f t="shared" si="10"/>
        <v>3900000</v>
      </c>
      <c r="AC29" s="180">
        <f t="shared" si="11"/>
        <v>1950000</v>
      </c>
      <c r="AD29" s="173">
        <f>+pronostico!O28*10%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+pronostico!O29*50%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+pronostico!O29*20%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+pronostico!O29*8%</f>
        <v>2000</v>
      </c>
      <c r="S30" s="174">
        <f t="shared" si="4"/>
        <v>8200000</v>
      </c>
      <c r="T30" s="175">
        <f t="shared" si="5"/>
        <v>3280000</v>
      </c>
      <c r="U30" s="173">
        <f>+pronostico!O29*8%</f>
        <v>2000</v>
      </c>
      <c r="V30" s="176">
        <f t="shared" si="6"/>
        <v>8200000</v>
      </c>
      <c r="W30" s="177">
        <f t="shared" si="7"/>
        <v>3280000</v>
      </c>
      <c r="X30" s="173">
        <f>+pronostico!O29*2%</f>
        <v>500</v>
      </c>
      <c r="Y30" s="178">
        <f t="shared" si="8"/>
        <v>2050000</v>
      </c>
      <c r="Z30" s="178">
        <f t="shared" si="9"/>
        <v>820000</v>
      </c>
      <c r="AA30" s="173">
        <f>+pronostico!O29*2%</f>
        <v>500</v>
      </c>
      <c r="AB30" s="179">
        <f t="shared" si="10"/>
        <v>2050000</v>
      </c>
      <c r="AC30" s="180">
        <f t="shared" si="11"/>
        <v>820000</v>
      </c>
      <c r="AD30" s="173">
        <f>+pronostico!O29*10%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+pronostico!O30*50%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+pronostico!O30*20%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+pronostico!O30*8%</f>
        <v>2000</v>
      </c>
      <c r="S31" s="174">
        <f t="shared" si="4"/>
        <v>4700000</v>
      </c>
      <c r="T31" s="175">
        <f t="shared" si="5"/>
        <v>2350000</v>
      </c>
      <c r="U31" s="173">
        <f>+pronostico!O30*8%</f>
        <v>2000</v>
      </c>
      <c r="V31" s="176">
        <f t="shared" si="6"/>
        <v>4700000</v>
      </c>
      <c r="W31" s="177">
        <f t="shared" si="7"/>
        <v>2350000</v>
      </c>
      <c r="X31" s="173">
        <f>+pronostico!O30*2%</f>
        <v>500</v>
      </c>
      <c r="Y31" s="178">
        <f t="shared" si="8"/>
        <v>1175000</v>
      </c>
      <c r="Z31" s="178">
        <f t="shared" si="9"/>
        <v>587500</v>
      </c>
      <c r="AA31" s="173">
        <f>+pronostico!O30*2%</f>
        <v>500</v>
      </c>
      <c r="AB31" s="179">
        <f t="shared" si="10"/>
        <v>1175000</v>
      </c>
      <c r="AC31" s="180">
        <f t="shared" si="11"/>
        <v>587500</v>
      </c>
      <c r="AD31" s="173">
        <f>+pronostico!O30*10%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+pronostico!O31*50%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+pronostico!O31*20%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+pronostico!O31*8%</f>
        <v>1600</v>
      </c>
      <c r="S32" s="174">
        <f t="shared" si="4"/>
        <v>4800000</v>
      </c>
      <c r="T32" s="175">
        <f t="shared" si="5"/>
        <v>2400000</v>
      </c>
      <c r="U32" s="173">
        <f>+pronostico!O31*8%</f>
        <v>1600</v>
      </c>
      <c r="V32" s="176">
        <f t="shared" si="6"/>
        <v>4800000</v>
      </c>
      <c r="W32" s="177">
        <f t="shared" si="7"/>
        <v>2400000</v>
      </c>
      <c r="X32" s="173">
        <f>+pronostico!O31*2%</f>
        <v>400</v>
      </c>
      <c r="Y32" s="178">
        <f t="shared" si="8"/>
        <v>1200000</v>
      </c>
      <c r="Z32" s="178">
        <f t="shared" si="9"/>
        <v>600000</v>
      </c>
      <c r="AA32" s="173">
        <f>+pronostico!O31*2%</f>
        <v>400</v>
      </c>
      <c r="AB32" s="179">
        <f t="shared" si="10"/>
        <v>1200000</v>
      </c>
      <c r="AC32" s="180">
        <f t="shared" si="11"/>
        <v>600000</v>
      </c>
      <c r="AD32" s="173">
        <f>+pronostico!O31*10%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+pronostico!O32*50%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+pronostico!O32*20%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+pronostico!O32*8%</f>
        <v>1200</v>
      </c>
      <c r="S33" s="174">
        <f t="shared" si="4"/>
        <v>2760000</v>
      </c>
      <c r="T33" s="175">
        <f t="shared" si="5"/>
        <v>1380000</v>
      </c>
      <c r="U33" s="173">
        <f>+pronostico!O32*8%</f>
        <v>1200</v>
      </c>
      <c r="V33" s="176">
        <f t="shared" si="6"/>
        <v>2760000</v>
      </c>
      <c r="W33" s="177">
        <f t="shared" si="7"/>
        <v>1380000</v>
      </c>
      <c r="X33" s="173">
        <f>+pronostico!O32*2%</f>
        <v>300</v>
      </c>
      <c r="Y33" s="178">
        <f t="shared" si="8"/>
        <v>690000</v>
      </c>
      <c r="Z33" s="178">
        <f t="shared" si="9"/>
        <v>345000</v>
      </c>
      <c r="AA33" s="173">
        <f>+pronostico!O32*2%</f>
        <v>300</v>
      </c>
      <c r="AB33" s="179">
        <f t="shared" si="10"/>
        <v>690000</v>
      </c>
      <c r="AC33" s="180">
        <f t="shared" si="11"/>
        <v>345000</v>
      </c>
      <c r="AD33" s="173">
        <f>+pronostico!O32*10%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+pronostico!O33*50%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+pronostico!O33*20%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+pronostico!O33*8%</f>
        <v>1600</v>
      </c>
      <c r="S34" s="174">
        <f t="shared" si="4"/>
        <v>6080000</v>
      </c>
      <c r="T34" s="175">
        <f t="shared" si="5"/>
        <v>2432000</v>
      </c>
      <c r="U34" s="173">
        <f>+pronostico!O33*8%</f>
        <v>1600</v>
      </c>
      <c r="V34" s="176">
        <f t="shared" si="6"/>
        <v>6080000</v>
      </c>
      <c r="W34" s="177">
        <f t="shared" si="7"/>
        <v>2432000</v>
      </c>
      <c r="X34" s="173">
        <f>+pronostico!O33*2%</f>
        <v>400</v>
      </c>
      <c r="Y34" s="178">
        <f t="shared" si="8"/>
        <v>1520000</v>
      </c>
      <c r="Z34" s="178">
        <f t="shared" si="9"/>
        <v>608000</v>
      </c>
      <c r="AA34" s="173">
        <f>+pronostico!O33*2%</f>
        <v>400</v>
      </c>
      <c r="AB34" s="179">
        <f t="shared" si="10"/>
        <v>1520000</v>
      </c>
      <c r="AC34" s="180">
        <f t="shared" si="11"/>
        <v>608000</v>
      </c>
      <c r="AD34" s="173">
        <f>+pronostico!O33*10%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+pronostico!O34*50%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+pronostico!O34*20%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+pronostico!O34*8%</f>
        <v>1600</v>
      </c>
      <c r="S35" s="174">
        <f t="shared" si="4"/>
        <v>6400000</v>
      </c>
      <c r="T35" s="175">
        <f t="shared" si="5"/>
        <v>2560000</v>
      </c>
      <c r="U35" s="173">
        <f>+pronostico!O34*8%</f>
        <v>1600</v>
      </c>
      <c r="V35" s="176">
        <f t="shared" si="6"/>
        <v>6400000</v>
      </c>
      <c r="W35" s="177">
        <f t="shared" si="7"/>
        <v>2560000</v>
      </c>
      <c r="X35" s="173">
        <f>+pronostico!O34*2%</f>
        <v>400</v>
      </c>
      <c r="Y35" s="178">
        <f t="shared" si="8"/>
        <v>1600000</v>
      </c>
      <c r="Z35" s="178">
        <f t="shared" si="9"/>
        <v>640000</v>
      </c>
      <c r="AA35" s="173">
        <f>+pronostico!O34*2%</f>
        <v>400</v>
      </c>
      <c r="AB35" s="179">
        <f t="shared" si="10"/>
        <v>1600000</v>
      </c>
      <c r="AC35" s="180">
        <f t="shared" si="11"/>
        <v>640000</v>
      </c>
      <c r="AD35" s="173">
        <f>+pronostico!O34*10%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+pronostico!O35*50%</f>
        <v>111178</v>
      </c>
      <c r="G36" s="137">
        <f t="shared" si="13"/>
        <v>212349980</v>
      </c>
      <c r="H36" s="138">
        <f t="shared" si="13"/>
        <v>106174990</v>
      </c>
      <c r="I36" s="137">
        <f t="shared" si="21"/>
        <v>66706.8</v>
      </c>
      <c r="J36" s="139">
        <f t="shared" si="15"/>
        <v>33353.4</v>
      </c>
      <c r="K36" s="167">
        <f t="shared" si="0"/>
        <v>11117.800000000001</v>
      </c>
      <c r="L36" s="168" t="s">
        <v>21</v>
      </c>
      <c r="M36" s="169">
        <f>+pronostico!O35*20%</f>
        <v>44471.200000000004</v>
      </c>
      <c r="N36" s="170">
        <f t="shared" si="2"/>
        <v>84939992.000000015</v>
      </c>
      <c r="O36" s="171">
        <f t="shared" si="3"/>
        <v>42469996.000000007</v>
      </c>
      <c r="P36" s="170">
        <f t="shared" si="16"/>
        <v>22235.600000000002</v>
      </c>
      <c r="Q36" s="172">
        <f t="shared" si="17"/>
        <v>22235.600000000002</v>
      </c>
      <c r="R36" s="173">
        <f>+pronostico!O35*8%</f>
        <v>17788.48</v>
      </c>
      <c r="S36" s="174">
        <f t="shared" si="4"/>
        <v>33975996.799999997</v>
      </c>
      <c r="T36" s="175">
        <f t="shared" si="5"/>
        <v>16987998.399999999</v>
      </c>
      <c r="U36" s="173">
        <f>+pronostico!O35*8%</f>
        <v>17788.48</v>
      </c>
      <c r="V36" s="176">
        <v>0</v>
      </c>
      <c r="W36" s="177">
        <f t="shared" ref="W36:W51" si="22">V36*E36</f>
        <v>0</v>
      </c>
      <c r="X36" s="173">
        <f>+pronostico!O35*2%</f>
        <v>4447.12</v>
      </c>
      <c r="Y36" s="178">
        <f t="shared" si="8"/>
        <v>8493999.1999999993</v>
      </c>
      <c r="Z36" s="178">
        <f t="shared" si="9"/>
        <v>4246999.5999999996</v>
      </c>
      <c r="AA36" s="173">
        <f>+pronostico!O35*2%</f>
        <v>4447.12</v>
      </c>
      <c r="AB36" s="179">
        <f t="shared" si="10"/>
        <v>8493999.1999999993</v>
      </c>
      <c r="AC36" s="180">
        <f t="shared" si="11"/>
        <v>4246999.5999999996</v>
      </c>
      <c r="AD36" s="173">
        <f>+pronostico!O35*10%</f>
        <v>22235.600000000002</v>
      </c>
      <c r="AE36" s="176">
        <f t="shared" si="20"/>
        <v>42469996.000000007</v>
      </c>
      <c r="AF36" s="177">
        <f t="shared" si="20"/>
        <v>21234998.000000004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+pronostico!O36*50%</f>
        <v>103727</v>
      </c>
      <c r="G37" s="137">
        <f t="shared" si="13"/>
        <v>225087590</v>
      </c>
      <c r="H37" s="138">
        <f t="shared" si="13"/>
        <v>112543795</v>
      </c>
      <c r="I37" s="137">
        <f t="shared" si="21"/>
        <v>62236.2</v>
      </c>
      <c r="J37" s="139">
        <f t="shared" si="15"/>
        <v>31118.1</v>
      </c>
      <c r="K37" s="167">
        <f t="shared" si="0"/>
        <v>10372.700000000001</v>
      </c>
      <c r="L37" s="168" t="s">
        <v>21</v>
      </c>
      <c r="M37" s="169">
        <f>+pronostico!O36*20%</f>
        <v>41490.800000000003</v>
      </c>
      <c r="N37" s="170">
        <f t="shared" si="2"/>
        <v>90035036</v>
      </c>
      <c r="O37" s="171">
        <f t="shared" si="3"/>
        <v>45017518</v>
      </c>
      <c r="P37" s="170">
        <f t="shared" si="16"/>
        <v>20745.400000000001</v>
      </c>
      <c r="Q37" s="172">
        <f t="shared" si="17"/>
        <v>20745.400000000001</v>
      </c>
      <c r="R37" s="173">
        <f>+pronostico!O36*8%</f>
        <v>16596.32</v>
      </c>
      <c r="S37" s="174">
        <f t="shared" si="4"/>
        <v>36014014.399999999</v>
      </c>
      <c r="T37" s="175">
        <f t="shared" si="5"/>
        <v>18007007.199999999</v>
      </c>
      <c r="U37" s="173">
        <f>+pronostico!O36*8%</f>
        <v>16596.32</v>
      </c>
      <c r="V37" s="176">
        <v>0</v>
      </c>
      <c r="W37" s="177">
        <f t="shared" si="22"/>
        <v>0</v>
      </c>
      <c r="X37" s="173">
        <f>+pronostico!O36*2%</f>
        <v>4149.08</v>
      </c>
      <c r="Y37" s="178">
        <f t="shared" si="8"/>
        <v>9003503.5999999996</v>
      </c>
      <c r="Z37" s="178">
        <f t="shared" si="9"/>
        <v>4501751.8</v>
      </c>
      <c r="AA37" s="173">
        <f>+pronostico!O36*2%</f>
        <v>4149.08</v>
      </c>
      <c r="AB37" s="179">
        <f t="shared" si="10"/>
        <v>9003503.5999999996</v>
      </c>
      <c r="AC37" s="180">
        <f t="shared" si="11"/>
        <v>4501751.8</v>
      </c>
      <c r="AD37" s="173">
        <f>+pronostico!O36*10%</f>
        <v>20745.400000000001</v>
      </c>
      <c r="AE37" s="176">
        <f t="shared" ref="AE37:AF51" si="23">+AD37*D37</f>
        <v>45017518</v>
      </c>
      <c r="AF37" s="177">
        <f t="shared" si="23"/>
        <v>22508759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+pronostico!O37*50%</f>
        <v>83011.5</v>
      </c>
      <c r="G38" s="137">
        <f t="shared" si="13"/>
        <v>138629205</v>
      </c>
      <c r="H38" s="138">
        <f t="shared" si="13"/>
        <v>69314602.5</v>
      </c>
      <c r="I38" s="137">
        <f t="shared" si="21"/>
        <v>49806.9</v>
      </c>
      <c r="J38" s="139">
        <f t="shared" si="15"/>
        <v>24903.45</v>
      </c>
      <c r="K38" s="167">
        <f t="shared" si="0"/>
        <v>8301.15</v>
      </c>
      <c r="L38" s="168" t="s">
        <v>21</v>
      </c>
      <c r="M38" s="169">
        <f>+pronostico!O37*20%</f>
        <v>33204.6</v>
      </c>
      <c r="N38" s="170">
        <f t="shared" si="2"/>
        <v>55451682</v>
      </c>
      <c r="O38" s="171">
        <f t="shared" si="3"/>
        <v>27725841</v>
      </c>
      <c r="P38" s="170">
        <f t="shared" si="16"/>
        <v>16602.3</v>
      </c>
      <c r="Q38" s="172">
        <f t="shared" si="17"/>
        <v>16602.3</v>
      </c>
      <c r="R38" s="173">
        <f>+pronostico!O37*8%</f>
        <v>13281.84</v>
      </c>
      <c r="S38" s="174">
        <f t="shared" si="4"/>
        <v>22180672.800000001</v>
      </c>
      <c r="T38" s="175">
        <f t="shared" si="5"/>
        <v>11090336.4</v>
      </c>
      <c r="U38" s="173">
        <f>+pronostico!O37*8%</f>
        <v>13281.84</v>
      </c>
      <c r="V38" s="176">
        <v>0</v>
      </c>
      <c r="W38" s="177">
        <f t="shared" si="22"/>
        <v>0</v>
      </c>
      <c r="X38" s="173">
        <f>+pronostico!O37*2%</f>
        <v>3320.46</v>
      </c>
      <c r="Y38" s="178">
        <f t="shared" si="8"/>
        <v>5545168.2000000002</v>
      </c>
      <c r="Z38" s="178">
        <f t="shared" si="9"/>
        <v>2772584.1</v>
      </c>
      <c r="AA38" s="173">
        <f>+pronostico!O37*2%</f>
        <v>3320.46</v>
      </c>
      <c r="AB38" s="179">
        <f t="shared" si="10"/>
        <v>5545168.2000000002</v>
      </c>
      <c r="AC38" s="180">
        <f t="shared" si="11"/>
        <v>2772584.1</v>
      </c>
      <c r="AD38" s="173">
        <f>+pronostico!O37*10%</f>
        <v>16602.3</v>
      </c>
      <c r="AE38" s="176">
        <f t="shared" si="23"/>
        <v>27725841</v>
      </c>
      <c r="AF38" s="177">
        <f t="shared" si="23"/>
        <v>13862920.5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+pronostico!O38*50%</f>
        <v>41002</v>
      </c>
      <c r="G39" s="137">
        <f t="shared" si="13"/>
        <v>41822040</v>
      </c>
      <c r="H39" s="138">
        <f t="shared" si="13"/>
        <v>20911020</v>
      </c>
      <c r="I39" s="137">
        <f t="shared" si="21"/>
        <v>24601.200000000001</v>
      </c>
      <c r="J39" s="139">
        <f t="shared" si="15"/>
        <v>12300.6</v>
      </c>
      <c r="K39" s="167">
        <f t="shared" si="0"/>
        <v>4100.2</v>
      </c>
      <c r="L39" s="168" t="s">
        <v>21</v>
      </c>
      <c r="M39" s="169">
        <f>+pronostico!O38*20%</f>
        <v>16400.8</v>
      </c>
      <c r="N39" s="170">
        <f t="shared" si="2"/>
        <v>16728816</v>
      </c>
      <c r="O39" s="171">
        <f t="shared" si="3"/>
        <v>8364408</v>
      </c>
      <c r="P39" s="170">
        <f t="shared" si="16"/>
        <v>8200.4</v>
      </c>
      <c r="Q39" s="172">
        <f t="shared" si="17"/>
        <v>8200.4</v>
      </c>
      <c r="R39" s="173">
        <f>+pronostico!O38*8%</f>
        <v>6560.32</v>
      </c>
      <c r="S39" s="174">
        <f t="shared" si="4"/>
        <v>6691526.3999999994</v>
      </c>
      <c r="T39" s="175">
        <f t="shared" si="5"/>
        <v>3345763.1999999997</v>
      </c>
      <c r="U39" s="173">
        <f>+pronostico!O38*8%</f>
        <v>6560.32</v>
      </c>
      <c r="V39" s="176">
        <v>0</v>
      </c>
      <c r="W39" s="177">
        <f t="shared" si="22"/>
        <v>0</v>
      </c>
      <c r="X39" s="173">
        <f>+pronostico!O38*2%</f>
        <v>1640.08</v>
      </c>
      <c r="Y39" s="178">
        <f t="shared" si="8"/>
        <v>1672881.5999999999</v>
      </c>
      <c r="Z39" s="178">
        <f t="shared" si="9"/>
        <v>836440.79999999993</v>
      </c>
      <c r="AA39" s="173">
        <f>+pronostico!O38*2%</f>
        <v>1640.08</v>
      </c>
      <c r="AB39" s="179">
        <f t="shared" si="10"/>
        <v>1672881.5999999999</v>
      </c>
      <c r="AC39" s="180">
        <f t="shared" si="11"/>
        <v>836440.79999999993</v>
      </c>
      <c r="AD39" s="173">
        <f>+pronostico!O38*10%</f>
        <v>8200.4</v>
      </c>
      <c r="AE39" s="176">
        <f t="shared" si="23"/>
        <v>8364408</v>
      </c>
      <c r="AF39" s="177">
        <f t="shared" si="23"/>
        <v>4182204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+pronostico!O39*50%</f>
        <v>45356</v>
      </c>
      <c r="G40" s="137">
        <f t="shared" si="13"/>
        <v>64859080</v>
      </c>
      <c r="H40" s="138">
        <f t="shared" si="13"/>
        <v>32429540</v>
      </c>
      <c r="I40" s="137">
        <f t="shared" si="21"/>
        <v>27213.599999999999</v>
      </c>
      <c r="J40" s="139">
        <f t="shared" si="15"/>
        <v>13606.8</v>
      </c>
      <c r="K40" s="167">
        <f t="shared" si="0"/>
        <v>4535.6000000000004</v>
      </c>
      <c r="L40" s="168" t="s">
        <v>21</v>
      </c>
      <c r="M40" s="169">
        <f>+pronostico!O39*20%</f>
        <v>18142.400000000001</v>
      </c>
      <c r="N40" s="170">
        <f t="shared" si="2"/>
        <v>25943632.000000004</v>
      </c>
      <c r="O40" s="171">
        <f t="shared" si="3"/>
        <v>12971816.000000002</v>
      </c>
      <c r="P40" s="170">
        <f t="shared" si="16"/>
        <v>9071.2000000000007</v>
      </c>
      <c r="Q40" s="172">
        <f t="shared" si="17"/>
        <v>9071.2000000000007</v>
      </c>
      <c r="R40" s="173">
        <f>+pronostico!O39*8%</f>
        <v>7256.96</v>
      </c>
      <c r="S40" s="174">
        <f t="shared" si="4"/>
        <v>10377452.800000001</v>
      </c>
      <c r="T40" s="175">
        <f t="shared" si="5"/>
        <v>5188726.4000000004</v>
      </c>
      <c r="U40" s="173">
        <f>+pronostico!O39*8%</f>
        <v>7256.96</v>
      </c>
      <c r="V40" s="176">
        <v>0</v>
      </c>
      <c r="W40" s="177">
        <f t="shared" si="22"/>
        <v>0</v>
      </c>
      <c r="X40" s="173">
        <f>+pronostico!O39*2%</f>
        <v>1814.24</v>
      </c>
      <c r="Y40" s="178">
        <f t="shared" si="8"/>
        <v>2594363.2000000002</v>
      </c>
      <c r="Z40" s="178">
        <f t="shared" si="9"/>
        <v>1297181.6000000001</v>
      </c>
      <c r="AA40" s="173">
        <f>+pronostico!O39*2%</f>
        <v>1814.24</v>
      </c>
      <c r="AB40" s="179">
        <f t="shared" si="10"/>
        <v>2594363.2000000002</v>
      </c>
      <c r="AC40" s="180">
        <f t="shared" si="11"/>
        <v>1297181.6000000001</v>
      </c>
      <c r="AD40" s="173">
        <f>+pronostico!O39*10%</f>
        <v>9071.2000000000007</v>
      </c>
      <c r="AE40" s="176">
        <f t="shared" si="23"/>
        <v>12971816.000000002</v>
      </c>
      <c r="AF40" s="177">
        <f t="shared" si="23"/>
        <v>6485908.0000000009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+pronostico!O40*50%</f>
        <v>37773.5</v>
      </c>
      <c r="G41" s="137">
        <f t="shared" si="13"/>
        <v>500876610</v>
      </c>
      <c r="H41" s="138">
        <f t="shared" si="13"/>
        <v>200350644</v>
      </c>
      <c r="I41" s="137">
        <f t="shared" si="21"/>
        <v>22664.1</v>
      </c>
      <c r="J41" s="139">
        <f t="shared" si="15"/>
        <v>11332.05</v>
      </c>
      <c r="K41" s="167">
        <f t="shared" si="0"/>
        <v>3777.3500000000004</v>
      </c>
      <c r="L41" s="168" t="s">
        <v>21</v>
      </c>
      <c r="M41" s="169">
        <f>+pronostico!O40*20%</f>
        <v>15109.400000000001</v>
      </c>
      <c r="N41" s="170">
        <f t="shared" si="2"/>
        <v>200350644.00000003</v>
      </c>
      <c r="O41" s="171">
        <f t="shared" si="3"/>
        <v>80140257.600000009</v>
      </c>
      <c r="P41" s="170">
        <f t="shared" si="16"/>
        <v>7554.7000000000007</v>
      </c>
      <c r="Q41" s="172">
        <f t="shared" si="17"/>
        <v>7554.7000000000007</v>
      </c>
      <c r="R41" s="173">
        <f>+pronostico!O40*8%</f>
        <v>6043.76</v>
      </c>
      <c r="S41" s="174">
        <f t="shared" si="4"/>
        <v>80140257.600000009</v>
      </c>
      <c r="T41" s="175">
        <f t="shared" si="5"/>
        <v>32056103.040000007</v>
      </c>
      <c r="U41" s="173">
        <f>+pronostico!O40*8%</f>
        <v>6043.76</v>
      </c>
      <c r="V41" s="176">
        <v>0</v>
      </c>
      <c r="W41" s="177">
        <f t="shared" si="22"/>
        <v>0</v>
      </c>
      <c r="X41" s="173">
        <f>+pronostico!O40*2%</f>
        <v>1510.94</v>
      </c>
      <c r="Y41" s="178">
        <f t="shared" si="8"/>
        <v>20035064.400000002</v>
      </c>
      <c r="Z41" s="178">
        <f t="shared" si="9"/>
        <v>8014025.7600000016</v>
      </c>
      <c r="AA41" s="173">
        <f>+pronostico!O40*2%</f>
        <v>1510.94</v>
      </c>
      <c r="AB41" s="179">
        <f t="shared" si="10"/>
        <v>20035064.400000002</v>
      </c>
      <c r="AC41" s="180">
        <f t="shared" si="11"/>
        <v>8014025.7600000016</v>
      </c>
      <c r="AD41" s="173">
        <f>+pronostico!O40*10%</f>
        <v>7554.7000000000007</v>
      </c>
      <c r="AE41" s="176">
        <f t="shared" si="23"/>
        <v>100175322.00000001</v>
      </c>
      <c r="AF41" s="177">
        <f t="shared" si="23"/>
        <v>40070128.800000004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+pronostico!O41*50%</f>
        <v>20983</v>
      </c>
      <c r="G42" s="137">
        <f t="shared" si="13"/>
        <v>59591720</v>
      </c>
      <c r="H42" s="138">
        <f t="shared" si="13"/>
        <v>29795860</v>
      </c>
      <c r="I42" s="137">
        <f t="shared" si="21"/>
        <v>12589.8</v>
      </c>
      <c r="J42" s="139">
        <f t="shared" si="15"/>
        <v>6294.9</v>
      </c>
      <c r="K42" s="167">
        <f t="shared" si="0"/>
        <v>2098.3000000000002</v>
      </c>
      <c r="L42" s="168" t="s">
        <v>21</v>
      </c>
      <c r="M42" s="169">
        <f>+pronostico!O41*20%</f>
        <v>8393.2000000000007</v>
      </c>
      <c r="N42" s="170">
        <f t="shared" si="2"/>
        <v>23836688.000000004</v>
      </c>
      <c r="O42" s="171">
        <f t="shared" si="3"/>
        <v>11918344.000000002</v>
      </c>
      <c r="P42" s="170">
        <f t="shared" si="16"/>
        <v>4196.6000000000004</v>
      </c>
      <c r="Q42" s="172">
        <f t="shared" si="17"/>
        <v>4196.6000000000004</v>
      </c>
      <c r="R42" s="173">
        <f>+pronostico!O41*8%</f>
        <v>3357.28</v>
      </c>
      <c r="S42" s="174">
        <f t="shared" si="4"/>
        <v>9534675.2000000011</v>
      </c>
      <c r="T42" s="175">
        <f t="shared" si="5"/>
        <v>4767337.6000000006</v>
      </c>
      <c r="U42" s="173">
        <f>+pronostico!O41*8%</f>
        <v>3357.28</v>
      </c>
      <c r="V42" s="176">
        <v>0</v>
      </c>
      <c r="W42" s="177">
        <f t="shared" si="22"/>
        <v>0</v>
      </c>
      <c r="X42" s="173">
        <f>+pronostico!O41*2%</f>
        <v>839.32</v>
      </c>
      <c r="Y42" s="178">
        <f t="shared" si="8"/>
        <v>2383668.8000000003</v>
      </c>
      <c r="Z42" s="178">
        <f t="shared" si="9"/>
        <v>1191834.4000000001</v>
      </c>
      <c r="AA42" s="173">
        <f>+pronostico!O41*2%</f>
        <v>839.32</v>
      </c>
      <c r="AB42" s="179">
        <f t="shared" si="10"/>
        <v>2383668.8000000003</v>
      </c>
      <c r="AC42" s="180">
        <f t="shared" si="11"/>
        <v>1191834.4000000001</v>
      </c>
      <c r="AD42" s="173">
        <f>+pronostico!O41*10%</f>
        <v>4196.6000000000004</v>
      </c>
      <c r="AE42" s="176">
        <f t="shared" si="23"/>
        <v>11918344.000000002</v>
      </c>
      <c r="AF42" s="177">
        <f t="shared" si="23"/>
        <v>5959172.0000000009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+pronostico!O42*50%</f>
        <v>18928.5</v>
      </c>
      <c r="G43" s="137">
        <f t="shared" si="13"/>
        <v>71928300</v>
      </c>
      <c r="H43" s="138">
        <f t="shared" si="13"/>
        <v>28771320</v>
      </c>
      <c r="I43" s="137">
        <f t="shared" si="21"/>
        <v>11357.1</v>
      </c>
      <c r="J43" s="139">
        <f t="shared" si="15"/>
        <v>5678.55</v>
      </c>
      <c r="K43" s="167">
        <f t="shared" si="0"/>
        <v>1892.8500000000001</v>
      </c>
      <c r="L43" s="168" t="s">
        <v>21</v>
      </c>
      <c r="M43" s="169">
        <f>+pronostico!O42*20%</f>
        <v>7571.4000000000005</v>
      </c>
      <c r="N43" s="170">
        <f t="shared" si="2"/>
        <v>28771320.000000004</v>
      </c>
      <c r="O43" s="171">
        <f t="shared" si="3"/>
        <v>11508528.000000002</v>
      </c>
      <c r="P43" s="170">
        <f t="shared" si="16"/>
        <v>3785.7000000000003</v>
      </c>
      <c r="Q43" s="172">
        <f t="shared" si="17"/>
        <v>3785.7000000000003</v>
      </c>
      <c r="R43" s="173">
        <f>+pronostico!O42*8%</f>
        <v>3028.56</v>
      </c>
      <c r="S43" s="174">
        <f t="shared" si="4"/>
        <v>11508528</v>
      </c>
      <c r="T43" s="175">
        <f t="shared" si="5"/>
        <v>4603411.2</v>
      </c>
      <c r="U43" s="173">
        <f>+pronostico!O42*8%</f>
        <v>3028.56</v>
      </c>
      <c r="V43" s="176">
        <v>0</v>
      </c>
      <c r="W43" s="177">
        <f t="shared" si="22"/>
        <v>0</v>
      </c>
      <c r="X43" s="173">
        <f>+pronostico!O42*2%</f>
        <v>757.14</v>
      </c>
      <c r="Y43" s="178">
        <f t="shared" si="8"/>
        <v>2877132</v>
      </c>
      <c r="Z43" s="178">
        <f t="shared" si="9"/>
        <v>1150852.8</v>
      </c>
      <c r="AA43" s="173">
        <f>+pronostico!O42*2%</f>
        <v>757.14</v>
      </c>
      <c r="AB43" s="179">
        <f t="shared" si="10"/>
        <v>2877132</v>
      </c>
      <c r="AC43" s="180">
        <f t="shared" si="11"/>
        <v>1150852.8</v>
      </c>
      <c r="AD43" s="173">
        <f>+pronostico!O42*10%</f>
        <v>3785.7000000000003</v>
      </c>
      <c r="AE43" s="176">
        <f t="shared" si="23"/>
        <v>14385660.000000002</v>
      </c>
      <c r="AF43" s="177">
        <f t="shared" si="23"/>
        <v>5754264.0000000009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+pronostico!O43*50%</f>
        <v>28861.287823530944</v>
      </c>
      <c r="G44" s="137">
        <f t="shared" si="13"/>
        <v>99282830.112946451</v>
      </c>
      <c r="H44" s="138">
        <f t="shared" si="13"/>
        <v>49641415.056473225</v>
      </c>
      <c r="I44" s="137">
        <f t="shared" si="21"/>
        <v>17316.772694118565</v>
      </c>
      <c r="J44" s="139">
        <f t="shared" si="15"/>
        <v>8658.3863470592823</v>
      </c>
      <c r="K44" s="167">
        <f t="shared" si="0"/>
        <v>2886.1287823530947</v>
      </c>
      <c r="L44" s="168" t="s">
        <v>21</v>
      </c>
      <c r="M44" s="169">
        <f>+pronostico!O43*20%</f>
        <v>11544.515129412379</v>
      </c>
      <c r="N44" s="170">
        <f t="shared" si="2"/>
        <v>39713132.045178585</v>
      </c>
      <c r="O44" s="171">
        <f t="shared" si="3"/>
        <v>19856566.022589292</v>
      </c>
      <c r="P44" s="170">
        <f t="shared" si="16"/>
        <v>5772.2575647061894</v>
      </c>
      <c r="Q44" s="172">
        <f t="shared" si="17"/>
        <v>5772.2575647061894</v>
      </c>
      <c r="R44" s="173">
        <f>+pronostico!O43*8%</f>
        <v>4617.806051764951</v>
      </c>
      <c r="S44" s="174">
        <f t="shared" si="4"/>
        <v>15885252.818071431</v>
      </c>
      <c r="T44" s="175">
        <f t="shared" si="5"/>
        <v>7942626.4090357153</v>
      </c>
      <c r="U44" s="173">
        <f>+pronostico!O43*8%</f>
        <v>4617.806051764951</v>
      </c>
      <c r="V44" s="176">
        <f t="shared" ref="V44:V51" si="24">U44*D44</f>
        <v>15885252.818071431</v>
      </c>
      <c r="W44" s="177">
        <f t="shared" si="22"/>
        <v>7942626.4090357153</v>
      </c>
      <c r="X44" s="173">
        <f>+pronostico!O43*2%</f>
        <v>1154.4515129412378</v>
      </c>
      <c r="Y44" s="178">
        <f t="shared" si="8"/>
        <v>3971313.2045178576</v>
      </c>
      <c r="Z44" s="178">
        <f t="shared" si="9"/>
        <v>1985656.6022589288</v>
      </c>
      <c r="AA44" s="173">
        <f>+pronostico!O43*2%</f>
        <v>1154.4515129412378</v>
      </c>
      <c r="AB44" s="179">
        <f t="shared" si="10"/>
        <v>3971313.2045178576</v>
      </c>
      <c r="AC44" s="180">
        <f t="shared" si="11"/>
        <v>1985656.6022589288</v>
      </c>
      <c r="AD44" s="173">
        <f>+pronostico!O43*10%</f>
        <v>5772.2575647061894</v>
      </c>
      <c r="AE44" s="176">
        <f t="shared" si="23"/>
        <v>19856566.022589292</v>
      </c>
      <c r="AF44" s="177">
        <f t="shared" si="23"/>
        <v>9928283.0112946462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+pronostico!O44*50%</f>
        <v>33906.448677001645</v>
      </c>
      <c r="G45" s="137">
        <f t="shared" si="13"/>
        <v>69847284.274623394</v>
      </c>
      <c r="H45" s="138">
        <f t="shared" si="13"/>
        <v>34923642.137311697</v>
      </c>
      <c r="I45" s="137">
        <f t="shared" si="21"/>
        <v>20343.869206200987</v>
      </c>
      <c r="J45" s="139">
        <f t="shared" si="15"/>
        <v>10171.934603100493</v>
      </c>
      <c r="K45" s="167">
        <f t="shared" si="0"/>
        <v>3390.6448677001645</v>
      </c>
      <c r="L45" s="168" t="s">
        <v>21</v>
      </c>
      <c r="M45" s="169">
        <f>+pronostico!O44*20%</f>
        <v>13562.579470800658</v>
      </c>
      <c r="N45" s="170">
        <f t="shared" si="2"/>
        <v>27938913.709849354</v>
      </c>
      <c r="O45" s="171">
        <f t="shared" si="3"/>
        <v>13969456.854924677</v>
      </c>
      <c r="P45" s="170">
        <f t="shared" si="16"/>
        <v>6781.2897354003289</v>
      </c>
      <c r="Q45" s="172">
        <f t="shared" si="17"/>
        <v>6781.2897354003289</v>
      </c>
      <c r="R45" s="173">
        <f>+pronostico!O44*8%</f>
        <v>5425.0317883202633</v>
      </c>
      <c r="S45" s="174">
        <f t="shared" si="4"/>
        <v>11175565.483939743</v>
      </c>
      <c r="T45" s="175">
        <f t="shared" si="5"/>
        <v>5587782.7419698713</v>
      </c>
      <c r="U45" s="173">
        <f>+pronostico!O44*8%</f>
        <v>5425.0317883202633</v>
      </c>
      <c r="V45" s="176">
        <f t="shared" si="24"/>
        <v>11175565.483939743</v>
      </c>
      <c r="W45" s="177">
        <f t="shared" si="22"/>
        <v>5587782.7419698713</v>
      </c>
      <c r="X45" s="173">
        <f>+pronostico!O44*2%</f>
        <v>1356.2579470800658</v>
      </c>
      <c r="Y45" s="178">
        <f t="shared" si="8"/>
        <v>2793891.3709849357</v>
      </c>
      <c r="Z45" s="178">
        <f t="shared" si="9"/>
        <v>1396945.6854924678</v>
      </c>
      <c r="AA45" s="173">
        <f>+pronostico!O44*2%</f>
        <v>1356.2579470800658</v>
      </c>
      <c r="AB45" s="179">
        <f t="shared" si="10"/>
        <v>2793891.3709849357</v>
      </c>
      <c r="AC45" s="180">
        <f t="shared" si="11"/>
        <v>1396945.6854924678</v>
      </c>
      <c r="AD45" s="173">
        <f>+pronostico!O44*10%</f>
        <v>6781.2897354003289</v>
      </c>
      <c r="AE45" s="176">
        <f t="shared" si="23"/>
        <v>13969456.854924677</v>
      </c>
      <c r="AF45" s="177">
        <f t="shared" si="23"/>
        <v>6984728.4274623385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+pronostico!O45*50%</f>
        <v>17435.482361259052</v>
      </c>
      <c r="G46" s="137">
        <f t="shared" si="13"/>
        <v>48993705.435137935</v>
      </c>
      <c r="H46" s="138">
        <f t="shared" si="13"/>
        <v>24496852.717568967</v>
      </c>
      <c r="I46" s="137">
        <f t="shared" si="21"/>
        <v>10461.289416755431</v>
      </c>
      <c r="J46" s="139">
        <f t="shared" si="15"/>
        <v>5230.6447083777157</v>
      </c>
      <c r="K46" s="167">
        <f t="shared" si="0"/>
        <v>1743.5482361259053</v>
      </c>
      <c r="L46" s="168" t="s">
        <v>21</v>
      </c>
      <c r="M46" s="169">
        <f>+pronostico!O45*20%</f>
        <v>6974.1929445036212</v>
      </c>
      <c r="N46" s="170">
        <f t="shared" si="2"/>
        <v>19597482.174055174</v>
      </c>
      <c r="O46" s="171">
        <f t="shared" si="3"/>
        <v>9798741.087027587</v>
      </c>
      <c r="P46" s="170">
        <f t="shared" si="16"/>
        <v>3487.0964722518106</v>
      </c>
      <c r="Q46" s="172">
        <f t="shared" si="17"/>
        <v>3487.0964722518106</v>
      </c>
      <c r="R46" s="173">
        <f>+pronostico!O45*8%</f>
        <v>2789.6771778014481</v>
      </c>
      <c r="S46" s="174">
        <f t="shared" si="4"/>
        <v>7838992.8696220694</v>
      </c>
      <c r="T46" s="175">
        <f t="shared" si="5"/>
        <v>3919496.4348110347</v>
      </c>
      <c r="U46" s="173">
        <f>+pronostico!O45*8%</f>
        <v>2789.6771778014481</v>
      </c>
      <c r="V46" s="176">
        <f t="shared" si="24"/>
        <v>7838992.8696220694</v>
      </c>
      <c r="W46" s="177">
        <f t="shared" si="22"/>
        <v>3919496.4348110347</v>
      </c>
      <c r="X46" s="173">
        <f>+pronostico!O45*2%</f>
        <v>697.41929445036203</v>
      </c>
      <c r="Y46" s="178">
        <f t="shared" si="8"/>
        <v>1959748.2174055174</v>
      </c>
      <c r="Z46" s="178">
        <f t="shared" si="9"/>
        <v>979874.10870275868</v>
      </c>
      <c r="AA46" s="173">
        <f>+pronostico!O45*2%</f>
        <v>697.41929445036203</v>
      </c>
      <c r="AB46" s="179">
        <f t="shared" si="10"/>
        <v>1959748.2174055174</v>
      </c>
      <c r="AC46" s="180">
        <f t="shared" si="11"/>
        <v>979874.10870275868</v>
      </c>
      <c r="AD46" s="173">
        <f>+pronostico!O45*10%</f>
        <v>3487.0964722518106</v>
      </c>
      <c r="AE46" s="176">
        <f t="shared" si="23"/>
        <v>9798741.087027587</v>
      </c>
      <c r="AF46" s="177">
        <f t="shared" si="23"/>
        <v>4899370.5435137935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+pronostico!O46*50%</f>
        <v>14245.160056858467</v>
      </c>
      <c r="G47" s="137">
        <f t="shared" si="13"/>
        <v>58974962.635394052</v>
      </c>
      <c r="H47" s="138">
        <f t="shared" si="13"/>
        <v>23589985.054157622</v>
      </c>
      <c r="I47" s="137">
        <f t="shared" si="21"/>
        <v>8547.0960341150803</v>
      </c>
      <c r="J47" s="139">
        <f t="shared" si="15"/>
        <v>4273.5480170575402</v>
      </c>
      <c r="K47" s="167">
        <f t="shared" si="0"/>
        <v>1424.5160056858467</v>
      </c>
      <c r="L47" s="168" t="s">
        <v>21</v>
      </c>
      <c r="M47" s="169">
        <f>+pronostico!O46*20%</f>
        <v>5698.0640227433869</v>
      </c>
      <c r="N47" s="170">
        <f t="shared" si="2"/>
        <v>23589985.054157622</v>
      </c>
      <c r="O47" s="171">
        <f t="shared" si="3"/>
        <v>9435994.0216630492</v>
      </c>
      <c r="P47" s="170">
        <f t="shared" si="16"/>
        <v>2849.0320113716934</v>
      </c>
      <c r="Q47" s="172">
        <f t="shared" si="17"/>
        <v>2849.0320113716934</v>
      </c>
      <c r="R47" s="173">
        <f>+pronostico!O46*8%</f>
        <v>2279.2256090973547</v>
      </c>
      <c r="S47" s="174">
        <f t="shared" si="4"/>
        <v>9435994.0216630492</v>
      </c>
      <c r="T47" s="175">
        <f t="shared" si="5"/>
        <v>3774397.60866522</v>
      </c>
      <c r="U47" s="173">
        <f>+pronostico!O46*8%</f>
        <v>2279.2256090973547</v>
      </c>
      <c r="V47" s="176">
        <f t="shared" si="24"/>
        <v>9435994.0216630492</v>
      </c>
      <c r="W47" s="177">
        <f t="shared" si="22"/>
        <v>3774397.60866522</v>
      </c>
      <c r="X47" s="173">
        <f>+pronostico!O46*2%</f>
        <v>569.80640227433867</v>
      </c>
      <c r="Y47" s="178">
        <f t="shared" si="8"/>
        <v>2358998.5054157623</v>
      </c>
      <c r="Z47" s="178">
        <f t="shared" si="9"/>
        <v>943599.40216630499</v>
      </c>
      <c r="AA47" s="173">
        <f>+pronostico!O46*2%</f>
        <v>569.80640227433867</v>
      </c>
      <c r="AB47" s="179">
        <f t="shared" si="10"/>
        <v>2358998.5054157623</v>
      </c>
      <c r="AC47" s="180">
        <f t="shared" si="11"/>
        <v>943599.40216630499</v>
      </c>
      <c r="AD47" s="173">
        <f>+pronostico!O46*10%</f>
        <v>2849.0320113716934</v>
      </c>
      <c r="AE47" s="176">
        <f t="shared" si="23"/>
        <v>11794992.527078811</v>
      </c>
      <c r="AF47" s="177">
        <f t="shared" si="23"/>
        <v>4717997.0108315246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+pronostico!O47*50%</f>
        <v>15710.626375851907</v>
      </c>
      <c r="G48" s="137">
        <f t="shared" si="13"/>
        <v>33777846.708081603</v>
      </c>
      <c r="H48" s="138">
        <f t="shared" si="13"/>
        <v>16888923.354040802</v>
      </c>
      <c r="I48" s="137">
        <f t="shared" si="21"/>
        <v>9426.3758255111443</v>
      </c>
      <c r="J48" s="139">
        <f t="shared" si="15"/>
        <v>4713.1879127555721</v>
      </c>
      <c r="K48" s="167">
        <f t="shared" si="0"/>
        <v>1571.0626375851907</v>
      </c>
      <c r="L48" s="168" t="s">
        <v>21</v>
      </c>
      <c r="M48" s="169">
        <f>+pronostico!O47*20%</f>
        <v>6284.2505503407629</v>
      </c>
      <c r="N48" s="170">
        <f t="shared" si="2"/>
        <v>13511138.683232641</v>
      </c>
      <c r="O48" s="171">
        <f t="shared" si="3"/>
        <v>6755569.3416163204</v>
      </c>
      <c r="P48" s="170">
        <f t="shared" si="16"/>
        <v>3142.1252751703814</v>
      </c>
      <c r="Q48" s="172">
        <f t="shared" si="17"/>
        <v>3142.1252751703814</v>
      </c>
      <c r="R48" s="173">
        <f>+pronostico!O47*8%</f>
        <v>2513.7002201363052</v>
      </c>
      <c r="S48" s="174">
        <f t="shared" si="4"/>
        <v>5404455.4732930567</v>
      </c>
      <c r="T48" s="175">
        <f t="shared" si="5"/>
        <v>2702227.7366465284</v>
      </c>
      <c r="U48" s="173">
        <f>+pronostico!O47*8%</f>
        <v>2513.7002201363052</v>
      </c>
      <c r="V48" s="176">
        <f t="shared" si="24"/>
        <v>5404455.4732930567</v>
      </c>
      <c r="W48" s="177">
        <f t="shared" si="22"/>
        <v>2702227.7366465284</v>
      </c>
      <c r="X48" s="173">
        <f>+pronostico!O47*2%</f>
        <v>628.42505503407631</v>
      </c>
      <c r="Y48" s="178">
        <f t="shared" si="8"/>
        <v>1351113.8683232642</v>
      </c>
      <c r="Z48" s="178">
        <f t="shared" si="9"/>
        <v>675556.93416163209</v>
      </c>
      <c r="AA48" s="173">
        <f>+pronostico!O47*2%</f>
        <v>628.42505503407631</v>
      </c>
      <c r="AB48" s="179">
        <f t="shared" si="10"/>
        <v>1351113.8683232642</v>
      </c>
      <c r="AC48" s="180">
        <f t="shared" si="11"/>
        <v>675556.93416163209</v>
      </c>
      <c r="AD48" s="173">
        <f>+pronostico!O47*10%</f>
        <v>3142.1252751703814</v>
      </c>
      <c r="AE48" s="176">
        <f t="shared" si="23"/>
        <v>6755569.3416163204</v>
      </c>
      <c r="AF48" s="177">
        <f t="shared" si="23"/>
        <v>3377784.6708081602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+pronostico!O48*50%</f>
        <v>12464.515049751169</v>
      </c>
      <c r="G49" s="137">
        <f t="shared" si="13"/>
        <v>26798707.356965013</v>
      </c>
      <c r="H49" s="138">
        <f t="shared" si="13"/>
        <v>13399353.678482506</v>
      </c>
      <c r="I49" s="137">
        <f t="shared" si="21"/>
        <v>7478.709029850701</v>
      </c>
      <c r="J49" s="139">
        <f t="shared" si="15"/>
        <v>3739.3545149253505</v>
      </c>
      <c r="K49" s="167">
        <f t="shared" si="0"/>
        <v>1246.4515049751171</v>
      </c>
      <c r="L49" s="168" t="s">
        <v>21</v>
      </c>
      <c r="M49" s="169">
        <f>+pronostico!O48*20%</f>
        <v>4985.8060199004685</v>
      </c>
      <c r="N49" s="170">
        <f t="shared" si="2"/>
        <v>10719482.942786008</v>
      </c>
      <c r="O49" s="171">
        <f t="shared" si="3"/>
        <v>5359741.4713930041</v>
      </c>
      <c r="P49" s="170">
        <f t="shared" si="16"/>
        <v>2492.9030099502343</v>
      </c>
      <c r="Q49" s="172">
        <f t="shared" si="17"/>
        <v>2492.9030099502343</v>
      </c>
      <c r="R49" s="173">
        <f>+pronostico!O48*8%</f>
        <v>1994.3224079601871</v>
      </c>
      <c r="S49" s="174">
        <f t="shared" si="4"/>
        <v>4287793.1771144019</v>
      </c>
      <c r="T49" s="175">
        <f t="shared" si="5"/>
        <v>2143896.588557201</v>
      </c>
      <c r="U49" s="173">
        <f>+pronostico!O48*8%</f>
        <v>1994.3224079601871</v>
      </c>
      <c r="V49" s="176">
        <f t="shared" si="24"/>
        <v>4287793.1771144019</v>
      </c>
      <c r="W49" s="177">
        <f t="shared" si="22"/>
        <v>2143896.588557201</v>
      </c>
      <c r="X49" s="173">
        <f>+pronostico!O48*2%</f>
        <v>498.58060199004677</v>
      </c>
      <c r="Y49" s="178">
        <f t="shared" si="8"/>
        <v>1071948.2942786005</v>
      </c>
      <c r="Z49" s="178">
        <f t="shared" si="9"/>
        <v>535974.14713930024</v>
      </c>
      <c r="AA49" s="173">
        <f>+pronostico!O48*2%</f>
        <v>498.58060199004677</v>
      </c>
      <c r="AB49" s="179">
        <f t="shared" si="10"/>
        <v>1071948.2942786005</v>
      </c>
      <c r="AC49" s="180">
        <f t="shared" si="11"/>
        <v>535974.14713930024</v>
      </c>
      <c r="AD49" s="173">
        <f>+pronostico!O48*10%</f>
        <v>2492.9030099502343</v>
      </c>
      <c r="AE49" s="176">
        <f t="shared" si="23"/>
        <v>5359741.4713930041</v>
      </c>
      <c r="AF49" s="177">
        <f t="shared" si="23"/>
        <v>2679870.735696502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+pronostico!O49*50%</f>
        <v>9125.8056614249672</v>
      </c>
      <c r="G50" s="137">
        <f t="shared" si="13"/>
        <v>37233287.098613866</v>
      </c>
      <c r="H50" s="138">
        <f t="shared" si="13"/>
        <v>14893314.839445546</v>
      </c>
      <c r="I50" s="137">
        <f t="shared" si="21"/>
        <v>5475.4833968549801</v>
      </c>
      <c r="J50" s="139">
        <f t="shared" si="15"/>
        <v>2737.7416984274901</v>
      </c>
      <c r="K50" s="167">
        <f t="shared" si="0"/>
        <v>912.58056614249676</v>
      </c>
      <c r="L50" s="168" t="s">
        <v>21</v>
      </c>
      <c r="M50" s="169">
        <f>+pronostico!O49*20%</f>
        <v>3650.3222645699871</v>
      </c>
      <c r="N50" s="170">
        <f t="shared" si="2"/>
        <v>14893314.839445546</v>
      </c>
      <c r="O50" s="171">
        <f t="shared" si="3"/>
        <v>5957325.9357782193</v>
      </c>
      <c r="P50" s="170">
        <f t="shared" si="16"/>
        <v>1825.1611322849935</v>
      </c>
      <c r="Q50" s="172">
        <f t="shared" si="17"/>
        <v>1825.1611322849935</v>
      </c>
      <c r="R50" s="173">
        <f>+pronostico!O49*8%</f>
        <v>1460.1289058279947</v>
      </c>
      <c r="S50" s="174">
        <f t="shared" si="4"/>
        <v>5957325.9357782183</v>
      </c>
      <c r="T50" s="175">
        <f t="shared" si="5"/>
        <v>2382930.3743112874</v>
      </c>
      <c r="U50" s="173">
        <f>+pronostico!O49*8%</f>
        <v>1460.1289058279947</v>
      </c>
      <c r="V50" s="176">
        <f t="shared" si="24"/>
        <v>5957325.9357782183</v>
      </c>
      <c r="W50" s="177">
        <f t="shared" si="22"/>
        <v>2382930.3743112874</v>
      </c>
      <c r="X50" s="173">
        <f>+pronostico!O49*2%</f>
        <v>365.03222645699867</v>
      </c>
      <c r="Y50" s="178">
        <f t="shared" si="8"/>
        <v>1489331.4839445546</v>
      </c>
      <c r="Z50" s="178">
        <f t="shared" si="9"/>
        <v>595732.59357782186</v>
      </c>
      <c r="AA50" s="173">
        <f>+pronostico!O49*2%</f>
        <v>365.03222645699867</v>
      </c>
      <c r="AB50" s="179">
        <f t="shared" si="10"/>
        <v>1489331.4839445546</v>
      </c>
      <c r="AC50" s="180">
        <f t="shared" si="11"/>
        <v>595732.59357782186</v>
      </c>
      <c r="AD50" s="173">
        <f>+pronostico!O49*10%</f>
        <v>1825.1611322849935</v>
      </c>
      <c r="AE50" s="176">
        <f t="shared" si="23"/>
        <v>7446657.4197227731</v>
      </c>
      <c r="AF50" s="177">
        <f t="shared" si="23"/>
        <v>2978662.9678891096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+pronostico!O50*50%</f>
        <v>9941.9346230157917</v>
      </c>
      <c r="G51" s="150">
        <f t="shared" si="13"/>
        <v>55277156.503967799</v>
      </c>
      <c r="H51" s="138">
        <f t="shared" si="13"/>
        <v>22110862.60158712</v>
      </c>
      <c r="I51" s="150">
        <f t="shared" si="21"/>
        <v>5965.1607738094744</v>
      </c>
      <c r="J51" s="151">
        <f t="shared" si="15"/>
        <v>2982.5803869047372</v>
      </c>
      <c r="K51" s="181">
        <f t="shared" si="0"/>
        <v>994.19346230157919</v>
      </c>
      <c r="L51" s="182" t="s">
        <v>21</v>
      </c>
      <c r="M51" s="169">
        <f>+pronostico!O50*20%</f>
        <v>3976.7738492063168</v>
      </c>
      <c r="N51" s="170">
        <f t="shared" si="2"/>
        <v>22110862.60158712</v>
      </c>
      <c r="O51" s="171">
        <f t="shared" si="3"/>
        <v>8844345.0406348482</v>
      </c>
      <c r="P51" s="183">
        <f t="shared" si="16"/>
        <v>1988.3869246031584</v>
      </c>
      <c r="Q51" s="184">
        <f t="shared" si="17"/>
        <v>1988.3869246031584</v>
      </c>
      <c r="R51" s="173">
        <f>+pronostico!O50*8%</f>
        <v>1590.7095396825266</v>
      </c>
      <c r="S51" s="174">
        <f t="shared" si="4"/>
        <v>8844345.0406348482</v>
      </c>
      <c r="T51" s="175">
        <f t="shared" si="5"/>
        <v>3537738.0162539394</v>
      </c>
      <c r="U51" s="173">
        <f>+pronostico!O50*8%</f>
        <v>1590.7095396825266</v>
      </c>
      <c r="V51" s="176">
        <f t="shared" si="24"/>
        <v>8844345.0406348482</v>
      </c>
      <c r="W51" s="177">
        <f t="shared" si="22"/>
        <v>3537738.0162539394</v>
      </c>
      <c r="X51" s="173">
        <f>+pronostico!O50*2%</f>
        <v>397.67738492063165</v>
      </c>
      <c r="Y51" s="178">
        <f t="shared" si="8"/>
        <v>2211086.260158712</v>
      </c>
      <c r="Z51" s="178">
        <f t="shared" si="9"/>
        <v>884434.50406348484</v>
      </c>
      <c r="AA51" s="173">
        <f>+pronostico!O50*2%</f>
        <v>397.67738492063165</v>
      </c>
      <c r="AB51" s="179">
        <f t="shared" si="10"/>
        <v>2211086.260158712</v>
      </c>
      <c r="AC51" s="180">
        <f t="shared" si="11"/>
        <v>884434.50406348484</v>
      </c>
      <c r="AD51" s="173">
        <f>+pronostico!O50*10%</f>
        <v>1988.3869246031584</v>
      </c>
      <c r="AE51" s="176">
        <f t="shared" si="23"/>
        <v>11055431.30079356</v>
      </c>
      <c r="AF51" s="177">
        <f t="shared" si="23"/>
        <v>4422172.5203174241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4959380033.393981</v>
      </c>
      <c r="H52" s="186">
        <f>SUM(H4:H51)</f>
        <v>2192080847.542552</v>
      </c>
      <c r="I52" s="187"/>
      <c r="J52" s="188"/>
      <c r="K52" s="188"/>
      <c r="L52" s="189"/>
      <c r="M52" s="185"/>
      <c r="N52" s="277">
        <f>SUM(N4:N51)</f>
        <v>1983752013.3575926</v>
      </c>
      <c r="O52" s="190">
        <f>SUM(O4:O51)</f>
        <v>876832339.01702058</v>
      </c>
      <c r="P52" s="187"/>
      <c r="Q52" s="189"/>
      <c r="R52" s="185"/>
      <c r="S52" s="274">
        <f>SUM(S4:S51)</f>
        <v>793500805.34303701</v>
      </c>
      <c r="T52" s="191">
        <f>SUM(T4:T51)</f>
        <v>350732935.6068083</v>
      </c>
      <c r="U52" s="185"/>
      <c r="V52" s="274">
        <f>SUM(V4:V51)</f>
        <v>583077681.34303701</v>
      </c>
      <c r="W52" s="191">
        <f>SUM(W4:W51)</f>
        <v>254686252.16680834</v>
      </c>
      <c r="X52" s="185"/>
      <c r="Y52" s="274">
        <f>SUM(Y4:Y51)</f>
        <v>198375201.33575925</v>
      </c>
      <c r="Z52" s="192">
        <f>SUM(Z4:Z51)</f>
        <v>87683233.901702076</v>
      </c>
      <c r="AA52" s="193"/>
      <c r="AB52" s="274">
        <f>SUM(AB4:AB51)</f>
        <v>198375201.33575925</v>
      </c>
      <c r="AC52" s="194">
        <f>SUM(AC4:AC51)</f>
        <v>87683233.901702076</v>
      </c>
      <c r="AD52" s="193"/>
      <c r="AE52" s="274">
        <f>SUM(AE4:AE51)</f>
        <v>991876006.67879629</v>
      </c>
      <c r="AF52" s="194">
        <f>SUM(AF4:AF51)</f>
        <v>438416169.50851029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1487814010.0181942</v>
      </c>
      <c r="H53" s="272"/>
      <c r="I53" s="255"/>
      <c r="J53" s="254"/>
      <c r="K53" s="259"/>
      <c r="L53" s="256"/>
      <c r="M53" s="253"/>
      <c r="N53" s="278">
        <f>+N52*20%</f>
        <v>396750402.67151856</v>
      </c>
      <c r="O53" s="272"/>
      <c r="P53" s="260"/>
      <c r="Q53" s="261"/>
      <c r="R53" s="262"/>
      <c r="S53" s="275">
        <f>+S52*12%</f>
        <v>95220096.641164437</v>
      </c>
      <c r="T53" s="272"/>
      <c r="U53" s="283"/>
      <c r="V53" s="275">
        <f>+V52*12%</f>
        <v>69969321.761164442</v>
      </c>
      <c r="W53" s="272"/>
      <c r="X53" s="283"/>
      <c r="Y53" s="275"/>
      <c r="Z53" s="284"/>
      <c r="AA53" s="283"/>
      <c r="AB53" s="275">
        <f>+AB52*12%</f>
        <v>23805024.160291109</v>
      </c>
      <c r="AC53" s="272"/>
      <c r="AD53" s="283"/>
      <c r="AE53" s="275">
        <f>+AE52*12%</f>
        <v>119025120.80145556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3471566023.3757868</v>
      </c>
      <c r="H54" s="273"/>
      <c r="I54" s="268"/>
      <c r="J54" s="267"/>
      <c r="K54" s="267"/>
      <c r="L54" s="269"/>
      <c r="M54" s="266"/>
      <c r="N54" s="279">
        <f>+N52-N53</f>
        <v>1587001610.686074</v>
      </c>
      <c r="O54" s="273"/>
      <c r="P54" s="268"/>
      <c r="Q54" s="269"/>
      <c r="R54" s="266"/>
      <c r="S54" s="276">
        <f>+S52-S53</f>
        <v>698280708.70187259</v>
      </c>
      <c r="T54" s="273"/>
      <c r="U54" s="285"/>
      <c r="V54" s="276">
        <f>+V52-V53</f>
        <v>513108359.58187258</v>
      </c>
      <c r="W54" s="273"/>
      <c r="X54" s="285"/>
      <c r="Y54" s="276">
        <f>+Y52-Y53</f>
        <v>198375201.33575925</v>
      </c>
      <c r="Z54" s="286"/>
      <c r="AA54" s="285"/>
      <c r="AB54" s="276">
        <f>+AB52-AB53</f>
        <v>174570177.17546815</v>
      </c>
      <c r="AC54" s="273"/>
      <c r="AD54" s="285"/>
      <c r="AE54" s="276">
        <f>+AE52-AE53</f>
        <v>872850885.87734079</v>
      </c>
      <c r="AF54" s="273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786" t="s">
        <v>161</v>
      </c>
      <c r="G56" s="787"/>
      <c r="H56" s="788"/>
      <c r="M56" s="786" t="s">
        <v>160</v>
      </c>
      <c r="N56" s="787"/>
      <c r="O56" s="788"/>
      <c r="R56" s="786" t="s">
        <v>159</v>
      </c>
      <c r="S56" s="787"/>
      <c r="T56" s="788"/>
    </row>
    <row r="57" spans="1:32" x14ac:dyDescent="0.25">
      <c r="F57" s="3" t="s">
        <v>155</v>
      </c>
      <c r="G57" s="3"/>
      <c r="H57" s="271">
        <f>+G52</f>
        <v>4959380033.393981</v>
      </c>
      <c r="M57" s="3" t="s">
        <v>155</v>
      </c>
      <c r="N57" s="3"/>
      <c r="O57" s="271">
        <f>+N52</f>
        <v>1983752013.3575926</v>
      </c>
      <c r="R57" s="3" t="s">
        <v>155</v>
      </c>
      <c r="S57" s="3"/>
      <c r="T57" s="271">
        <f>S52+V52+Y52+AB52+AE52</f>
        <v>2765204896.0363884</v>
      </c>
    </row>
    <row r="58" spans="1:32" x14ac:dyDescent="0.25">
      <c r="F58" s="3" t="s">
        <v>156</v>
      </c>
      <c r="G58" s="3"/>
      <c r="H58" s="271">
        <f>+G52-H52</f>
        <v>2767299185.851429</v>
      </c>
      <c r="M58" s="3" t="s">
        <v>156</v>
      </c>
      <c r="N58" s="3"/>
      <c r="O58" s="271">
        <f>+N52-O52</f>
        <v>1106919674.3405719</v>
      </c>
      <c r="R58" s="3" t="s">
        <v>156</v>
      </c>
      <c r="S58" s="3"/>
      <c r="T58" s="271">
        <f>T57-T59</f>
        <v>1546003070.9508574</v>
      </c>
    </row>
    <row r="59" spans="1:32" x14ac:dyDescent="0.25">
      <c r="F59" s="3" t="s">
        <v>157</v>
      </c>
      <c r="G59" s="3"/>
      <c r="H59" s="271">
        <f>+H52</f>
        <v>2192080847.542552</v>
      </c>
      <c r="M59" s="3" t="s">
        <v>157</v>
      </c>
      <c r="N59" s="3"/>
      <c r="O59" s="271">
        <f>+O52</f>
        <v>876832339.01702058</v>
      </c>
      <c r="R59" s="3" t="s">
        <v>157</v>
      </c>
      <c r="S59" s="3"/>
      <c r="T59" s="271">
        <f>T52+W52+Z52+AC52+AF52</f>
        <v>1219201825.085531</v>
      </c>
    </row>
    <row r="60" spans="1:32" x14ac:dyDescent="0.25">
      <c r="F60" s="3" t="s">
        <v>147</v>
      </c>
      <c r="G60" s="3"/>
      <c r="H60" s="271">
        <f>+G53</f>
        <v>1487814010.0181942</v>
      </c>
      <c r="M60" s="3" t="s">
        <v>147</v>
      </c>
      <c r="N60" s="3"/>
      <c r="O60" s="271">
        <f>+N53</f>
        <v>396750402.67151856</v>
      </c>
      <c r="R60" s="3" t="s">
        <v>147</v>
      </c>
      <c r="S60" s="3"/>
      <c r="T60" s="271">
        <f>S53+V53+AB53+AE53</f>
        <v>308019563.36407554</v>
      </c>
    </row>
    <row r="61" spans="1:32" x14ac:dyDescent="0.25">
      <c r="F61" s="3" t="s">
        <v>158</v>
      </c>
      <c r="G61" s="3"/>
      <c r="H61" s="271">
        <f>+H59-H60</f>
        <v>704266837.5243578</v>
      </c>
      <c r="M61" s="3" t="s">
        <v>158</v>
      </c>
      <c r="N61" s="3"/>
      <c r="O61" s="271">
        <f>+O59-O60</f>
        <v>480081936.34550202</v>
      </c>
      <c r="R61" s="3" t="s">
        <v>158</v>
      </c>
      <c r="S61" s="3"/>
      <c r="T61" s="271">
        <f>+T59-T60</f>
        <v>911182261.72145545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D49" workbookViewId="0">
      <selection activeCell="U56" sqref="U56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774" t="s">
        <v>154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AF1" s="776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+pronostico!P3*50%</f>
        <v>89814.769191073152</v>
      </c>
      <c r="G4" s="137">
        <f>F4*D4</f>
        <v>440990516.7281692</v>
      </c>
      <c r="H4" s="138">
        <f>G4*E4</f>
        <v>176396206.6912677</v>
      </c>
      <c r="I4" s="137">
        <f>+F4*50%</f>
        <v>44907.384595536576</v>
      </c>
      <c r="J4" s="139">
        <f>+F4*30%</f>
        <v>26944.430757321945</v>
      </c>
      <c r="K4" s="167">
        <f t="shared" ref="K4:K51" si="0">+F4*10%</f>
        <v>8981.4769191073156</v>
      </c>
      <c r="L4" s="168">
        <f t="shared" ref="L4:L18" si="1">+F4*10%</f>
        <v>8981.4769191073156</v>
      </c>
      <c r="M4" s="169">
        <f>+pronostico!P3*20%</f>
        <v>35925.907676429262</v>
      </c>
      <c r="N4" s="170">
        <f t="shared" ref="N4:N51" si="2">M4*D4</f>
        <v>176396206.69126767</v>
      </c>
      <c r="O4" s="171">
        <f t="shared" ref="O4:O51" si="3">N4*E4</f>
        <v>70558482.676507071</v>
      </c>
      <c r="P4" s="170">
        <f>+M4*50%</f>
        <v>17962.953838214631</v>
      </c>
      <c r="Q4" s="172">
        <f>+M4*50%</f>
        <v>17962.953838214631</v>
      </c>
      <c r="R4" s="173">
        <f>+pronostico!P3*8%</f>
        <v>14370.363070571704</v>
      </c>
      <c r="S4" s="174">
        <f t="shared" ref="S4:S51" si="4">R4*D4</f>
        <v>70558482.676507071</v>
      </c>
      <c r="T4" s="175">
        <f t="shared" ref="T4:T51" si="5">S4*E4</f>
        <v>28223393.07060283</v>
      </c>
      <c r="U4" s="173">
        <f>+pronostico!P3*8%</f>
        <v>14370.363070571704</v>
      </c>
      <c r="V4" s="176">
        <f t="shared" ref="V4:V35" si="6">U4*D4</f>
        <v>70558482.676507071</v>
      </c>
      <c r="W4" s="177">
        <f t="shared" ref="W4:W35" si="7">V4*E4</f>
        <v>28223393.07060283</v>
      </c>
      <c r="X4" s="173">
        <f>+pronostico!P3*2%</f>
        <v>3592.590767642926</v>
      </c>
      <c r="Y4" s="178">
        <f t="shared" ref="Y4:Y51" si="8">X4*D4</f>
        <v>17639620.669126768</v>
      </c>
      <c r="Z4" s="178">
        <f t="shared" ref="Z4:Z51" si="9">Y4*E4</f>
        <v>7055848.2676507076</v>
      </c>
      <c r="AA4" s="173">
        <f>+pronostico!P3*2%</f>
        <v>3592.590767642926</v>
      </c>
      <c r="AB4" s="176">
        <f t="shared" ref="AB4:AB51" si="10">AA4*D4</f>
        <v>17639620.669126768</v>
      </c>
      <c r="AC4" s="177">
        <f t="shared" ref="AC4:AC51" si="11">AB4*E4</f>
        <v>7055848.2676507076</v>
      </c>
      <c r="AD4" s="173">
        <f>+pronostico!P3*10%</f>
        <v>17962.953838214631</v>
      </c>
      <c r="AE4" s="176">
        <f>+AD4*D4</f>
        <v>88198103.345633835</v>
      </c>
      <c r="AF4" s="177">
        <f>+AE4*E4</f>
        <v>35279241.338253535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+pronostico!P4*50%</f>
        <v>62677.61112540395</v>
      </c>
      <c r="G5" s="137">
        <f t="shared" ref="G5:H51" si="13">F5*D5</f>
        <v>307747070.62573338</v>
      </c>
      <c r="H5" s="138">
        <f t="shared" si="13"/>
        <v>123098828.25029336</v>
      </c>
      <c r="I5" s="137">
        <f t="shared" ref="I5:I20" si="14">+F5*50%</f>
        <v>31338.805562701975</v>
      </c>
      <c r="J5" s="139">
        <f t="shared" ref="J5:J51" si="15">+F5*30%</f>
        <v>18803.283337621186</v>
      </c>
      <c r="K5" s="167">
        <f t="shared" si="0"/>
        <v>6267.7611125403955</v>
      </c>
      <c r="L5" s="168">
        <f t="shared" si="1"/>
        <v>6267.7611125403955</v>
      </c>
      <c r="M5" s="169">
        <f>+pronostico!P4*20%</f>
        <v>25071.044450161582</v>
      </c>
      <c r="N5" s="170">
        <f t="shared" si="2"/>
        <v>123098828.25029337</v>
      </c>
      <c r="O5" s="171">
        <f t="shared" si="3"/>
        <v>49239531.300117351</v>
      </c>
      <c r="P5" s="170">
        <f t="shared" ref="P5:P51" si="16">+M5*50%</f>
        <v>12535.522225080791</v>
      </c>
      <c r="Q5" s="172">
        <f t="shared" ref="Q5:Q51" si="17">+M5*50%</f>
        <v>12535.522225080791</v>
      </c>
      <c r="R5" s="173">
        <f>+pronostico!P4*8%</f>
        <v>10028.417780064632</v>
      </c>
      <c r="S5" s="174">
        <f t="shared" si="4"/>
        <v>49239531.300117344</v>
      </c>
      <c r="T5" s="175">
        <f t="shared" si="5"/>
        <v>19695812.520046938</v>
      </c>
      <c r="U5" s="173">
        <f>+pronostico!P4*8%</f>
        <v>10028.417780064632</v>
      </c>
      <c r="V5" s="176">
        <f t="shared" si="6"/>
        <v>49239531.300117344</v>
      </c>
      <c r="W5" s="177">
        <f t="shared" si="7"/>
        <v>19695812.520046938</v>
      </c>
      <c r="X5" s="173">
        <f>+pronostico!P4*2%</f>
        <v>2507.104445016158</v>
      </c>
      <c r="Y5" s="178">
        <f t="shared" si="8"/>
        <v>12309882.825029336</v>
      </c>
      <c r="Z5" s="178">
        <f t="shared" si="9"/>
        <v>4923953.1300117346</v>
      </c>
      <c r="AA5" s="173">
        <f>+pronostico!P4*2%</f>
        <v>2507.104445016158</v>
      </c>
      <c r="AB5" s="179">
        <f t="shared" si="10"/>
        <v>12309882.825029336</v>
      </c>
      <c r="AC5" s="180">
        <f t="shared" si="11"/>
        <v>4923953.1300117346</v>
      </c>
      <c r="AD5" s="173">
        <f>+pronostico!P4*10%</f>
        <v>12535.522225080791</v>
      </c>
      <c r="AE5" s="176">
        <f t="shared" ref="AE5:AF20" si="18">+AD5*D5</f>
        <v>61549414.125146687</v>
      </c>
      <c r="AF5" s="177">
        <f t="shared" si="18"/>
        <v>24619765.650058676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+pronostico!P5*50%</f>
        <v>18874.435005579377</v>
      </c>
      <c r="G6" s="137">
        <f t="shared" si="13"/>
        <v>113246610.03347626</v>
      </c>
      <c r="H6" s="138">
        <f t="shared" si="13"/>
        <v>45298644.013390511</v>
      </c>
      <c r="I6" s="137">
        <f t="shared" si="14"/>
        <v>9437.2175027896883</v>
      </c>
      <c r="J6" s="139">
        <f t="shared" si="15"/>
        <v>5662.3305016738132</v>
      </c>
      <c r="K6" s="167">
        <f t="shared" si="0"/>
        <v>1887.4435005579378</v>
      </c>
      <c r="L6" s="168">
        <f t="shared" si="1"/>
        <v>1887.4435005579378</v>
      </c>
      <c r="M6" s="169">
        <f>+pronostico!P5*20%</f>
        <v>7549.7740022317512</v>
      </c>
      <c r="N6" s="170">
        <f t="shared" si="2"/>
        <v>45298644.013390504</v>
      </c>
      <c r="O6" s="171">
        <f t="shared" si="3"/>
        <v>18119457.605356202</v>
      </c>
      <c r="P6" s="170">
        <f t="shared" si="16"/>
        <v>3774.8870011158756</v>
      </c>
      <c r="Q6" s="172">
        <f t="shared" si="17"/>
        <v>3774.8870011158756</v>
      </c>
      <c r="R6" s="173">
        <f>+pronostico!P5*8%</f>
        <v>3019.9096008927004</v>
      </c>
      <c r="S6" s="174">
        <f t="shared" si="4"/>
        <v>18119457.605356202</v>
      </c>
      <c r="T6" s="175">
        <f t="shared" si="5"/>
        <v>7247783.0421424806</v>
      </c>
      <c r="U6" s="173">
        <f>+pronostico!P5*8%</f>
        <v>3019.9096008927004</v>
      </c>
      <c r="V6" s="176">
        <f t="shared" si="6"/>
        <v>18119457.605356202</v>
      </c>
      <c r="W6" s="177">
        <f t="shared" si="7"/>
        <v>7247783.0421424806</v>
      </c>
      <c r="X6" s="173">
        <f>+pronostico!P5*2%</f>
        <v>754.9774002231751</v>
      </c>
      <c r="Y6" s="178">
        <f t="shared" si="8"/>
        <v>4529864.4013390504</v>
      </c>
      <c r="Z6" s="178">
        <f t="shared" si="9"/>
        <v>1811945.7605356202</v>
      </c>
      <c r="AA6" s="173">
        <f>+pronostico!P5*2%</f>
        <v>754.9774002231751</v>
      </c>
      <c r="AB6" s="179">
        <f t="shared" si="10"/>
        <v>4529864.4013390504</v>
      </c>
      <c r="AC6" s="180">
        <f t="shared" si="11"/>
        <v>1811945.7605356202</v>
      </c>
      <c r="AD6" s="173">
        <f>+pronostico!P5*10%</f>
        <v>3774.8870011158756</v>
      </c>
      <c r="AE6" s="176">
        <f t="shared" si="18"/>
        <v>22649322.006695252</v>
      </c>
      <c r="AF6" s="177">
        <f t="shared" si="18"/>
        <v>9059728.8026781008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+pronostico!P6*50%</f>
        <v>35332.942330444581</v>
      </c>
      <c r="G7" s="137">
        <f t="shared" si="13"/>
        <v>181257994.15518069</v>
      </c>
      <c r="H7" s="138">
        <f t="shared" si="13"/>
        <v>72503197.662072286</v>
      </c>
      <c r="I7" s="137">
        <f t="shared" si="14"/>
        <v>17666.47116522229</v>
      </c>
      <c r="J7" s="139">
        <f t="shared" si="15"/>
        <v>10599.882699133374</v>
      </c>
      <c r="K7" s="167">
        <f t="shared" si="0"/>
        <v>3533.2942330444585</v>
      </c>
      <c r="L7" s="168">
        <f t="shared" si="1"/>
        <v>3533.2942330444585</v>
      </c>
      <c r="M7" s="169">
        <f>+pronostico!P6*20%</f>
        <v>14133.176932177834</v>
      </c>
      <c r="N7" s="170">
        <f t="shared" si="2"/>
        <v>72503197.662072286</v>
      </c>
      <c r="O7" s="171">
        <f t="shared" si="3"/>
        <v>29001279.064828917</v>
      </c>
      <c r="P7" s="170">
        <f t="shared" si="16"/>
        <v>7066.5884660889169</v>
      </c>
      <c r="Q7" s="172">
        <f t="shared" si="17"/>
        <v>7066.5884660889169</v>
      </c>
      <c r="R7" s="173">
        <f>+pronostico!P6*8%</f>
        <v>5653.270772871133</v>
      </c>
      <c r="S7" s="174">
        <f t="shared" si="4"/>
        <v>29001279.064828914</v>
      </c>
      <c r="T7" s="175">
        <f t="shared" si="5"/>
        <v>11600511.625931567</v>
      </c>
      <c r="U7" s="173">
        <f>+pronostico!P6*8%</f>
        <v>5653.270772871133</v>
      </c>
      <c r="V7" s="176">
        <f t="shared" si="6"/>
        <v>29001279.064828914</v>
      </c>
      <c r="W7" s="177">
        <f t="shared" si="7"/>
        <v>11600511.625931567</v>
      </c>
      <c r="X7" s="173">
        <f>+pronostico!P6*2%</f>
        <v>1413.3176932177832</v>
      </c>
      <c r="Y7" s="178">
        <f t="shared" si="8"/>
        <v>7250319.7662072284</v>
      </c>
      <c r="Z7" s="178">
        <f t="shared" si="9"/>
        <v>2900127.9064828916</v>
      </c>
      <c r="AA7" s="173">
        <f>+pronostico!P6*2%</f>
        <v>1413.3176932177832</v>
      </c>
      <c r="AB7" s="179">
        <f t="shared" si="10"/>
        <v>7250319.7662072284</v>
      </c>
      <c r="AC7" s="180">
        <f t="shared" si="11"/>
        <v>2900127.9064828916</v>
      </c>
      <c r="AD7" s="173">
        <f>+pronostico!P6*10%</f>
        <v>7066.5884660889169</v>
      </c>
      <c r="AE7" s="176">
        <f t="shared" si="18"/>
        <v>36251598.831036143</v>
      </c>
      <c r="AF7" s="177">
        <f t="shared" si="18"/>
        <v>14500639.532414459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+pronostico!P7*50%</f>
        <v>26257.998887579542</v>
      </c>
      <c r="G8" s="137">
        <f t="shared" si="13"/>
        <v>224505890.48880509</v>
      </c>
      <c r="H8" s="138">
        <f t="shared" si="13"/>
        <v>89802356.19552204</v>
      </c>
      <c r="I8" s="137">
        <f t="shared" si="14"/>
        <v>13128.999443789771</v>
      </c>
      <c r="J8" s="139">
        <f t="shared" si="15"/>
        <v>7877.3996662738627</v>
      </c>
      <c r="K8" s="167">
        <f t="shared" si="0"/>
        <v>2625.7998887579542</v>
      </c>
      <c r="L8" s="168">
        <f t="shared" si="1"/>
        <v>2625.7998887579542</v>
      </c>
      <c r="M8" s="169">
        <f>+pronostico!P7*20%</f>
        <v>10503.199555031817</v>
      </c>
      <c r="N8" s="170">
        <f t="shared" si="2"/>
        <v>89802356.19552204</v>
      </c>
      <c r="O8" s="171">
        <f t="shared" si="3"/>
        <v>35920942.478208818</v>
      </c>
      <c r="P8" s="170">
        <f t="shared" si="16"/>
        <v>5251.5997775159085</v>
      </c>
      <c r="Q8" s="172">
        <f t="shared" si="17"/>
        <v>5251.5997775159085</v>
      </c>
      <c r="R8" s="173">
        <f>+pronostico!P7*8%</f>
        <v>4201.279822012727</v>
      </c>
      <c r="S8" s="174">
        <f t="shared" si="4"/>
        <v>35920942.478208818</v>
      </c>
      <c r="T8" s="175">
        <f t="shared" si="5"/>
        <v>14368376.991283529</v>
      </c>
      <c r="U8" s="173">
        <f>+pronostico!P7*8%</f>
        <v>4201.279822012727</v>
      </c>
      <c r="V8" s="176">
        <f t="shared" si="6"/>
        <v>35920942.478208818</v>
      </c>
      <c r="W8" s="177">
        <f t="shared" si="7"/>
        <v>14368376.991283529</v>
      </c>
      <c r="X8" s="173">
        <f>+pronostico!P7*2%</f>
        <v>1050.3199555031817</v>
      </c>
      <c r="Y8" s="178">
        <f t="shared" si="8"/>
        <v>8980235.6195522044</v>
      </c>
      <c r="Z8" s="178">
        <f t="shared" si="9"/>
        <v>3592094.2478208821</v>
      </c>
      <c r="AA8" s="173">
        <f>+pronostico!P7*2%</f>
        <v>1050.3199555031817</v>
      </c>
      <c r="AB8" s="179">
        <f t="shared" si="10"/>
        <v>8980235.6195522044</v>
      </c>
      <c r="AC8" s="180">
        <f t="shared" si="11"/>
        <v>3592094.2478208821</v>
      </c>
      <c r="AD8" s="173">
        <f>+pronostico!P7*10%</f>
        <v>5251.5997775159085</v>
      </c>
      <c r="AE8" s="176">
        <f t="shared" si="18"/>
        <v>44901178.09776102</v>
      </c>
      <c r="AF8" s="177">
        <f t="shared" si="18"/>
        <v>17960471.239104409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+pronostico!P8*50%</f>
        <v>29116.189915488543</v>
      </c>
      <c r="G9" s="137">
        <f t="shared" si="13"/>
        <v>294073518.14643431</v>
      </c>
      <c r="H9" s="138">
        <f t="shared" si="13"/>
        <v>117629407.25857373</v>
      </c>
      <c r="I9" s="137">
        <f t="shared" si="14"/>
        <v>14558.094957744272</v>
      </c>
      <c r="J9" s="139">
        <f t="shared" si="15"/>
        <v>8734.8569746465619</v>
      </c>
      <c r="K9" s="167">
        <f t="shared" si="0"/>
        <v>2911.6189915488544</v>
      </c>
      <c r="L9" s="168">
        <f t="shared" si="1"/>
        <v>2911.6189915488544</v>
      </c>
      <c r="M9" s="169">
        <f>+pronostico!P8*20%</f>
        <v>11646.475966195418</v>
      </c>
      <c r="N9" s="170">
        <f t="shared" si="2"/>
        <v>117629407.25857371</v>
      </c>
      <c r="O9" s="171">
        <f t="shared" si="3"/>
        <v>47051762.903429486</v>
      </c>
      <c r="P9" s="170">
        <f t="shared" si="16"/>
        <v>5823.2379830977088</v>
      </c>
      <c r="Q9" s="172">
        <f t="shared" si="17"/>
        <v>5823.2379830977088</v>
      </c>
      <c r="R9" s="173">
        <f>+pronostico!P8*8%</f>
        <v>4658.5903864781667</v>
      </c>
      <c r="S9" s="174">
        <f t="shared" si="4"/>
        <v>47051762.903429486</v>
      </c>
      <c r="T9" s="175">
        <f t="shared" si="5"/>
        <v>18820705.161371794</v>
      </c>
      <c r="U9" s="173">
        <f>+pronostico!P8*8%</f>
        <v>4658.5903864781667</v>
      </c>
      <c r="V9" s="176">
        <f t="shared" si="6"/>
        <v>47051762.903429486</v>
      </c>
      <c r="W9" s="177">
        <f t="shared" si="7"/>
        <v>18820705.161371794</v>
      </c>
      <c r="X9" s="173">
        <f>+pronostico!P8*2%</f>
        <v>1164.6475966195417</v>
      </c>
      <c r="Y9" s="178">
        <f t="shared" si="8"/>
        <v>11762940.725857371</v>
      </c>
      <c r="Z9" s="178">
        <f t="shared" si="9"/>
        <v>4705176.2903429484</v>
      </c>
      <c r="AA9" s="173">
        <f>+pronostico!P8*2%</f>
        <v>1164.6475966195417</v>
      </c>
      <c r="AB9" s="179">
        <f t="shared" si="10"/>
        <v>11762940.725857371</v>
      </c>
      <c r="AC9" s="180">
        <f t="shared" si="11"/>
        <v>4705176.2903429484</v>
      </c>
      <c r="AD9" s="173">
        <f>+pronostico!P8*10%</f>
        <v>5823.2379830977088</v>
      </c>
      <c r="AE9" s="176">
        <f t="shared" si="18"/>
        <v>58814703.629286855</v>
      </c>
      <c r="AF9" s="177">
        <f t="shared" si="18"/>
        <v>23525881.451714743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+pronostico!P9*50%</f>
        <v>35527.799388599073</v>
      </c>
      <c r="G10" s="137">
        <f t="shared" si="13"/>
        <v>83135050.569321826</v>
      </c>
      <c r="H10" s="138">
        <f t="shared" si="13"/>
        <v>41567525.284660913</v>
      </c>
      <c r="I10" s="137">
        <f t="shared" si="14"/>
        <v>17763.899694299536</v>
      </c>
      <c r="J10" s="139">
        <f t="shared" si="15"/>
        <v>10658.339816579721</v>
      </c>
      <c r="K10" s="167">
        <f t="shared" si="0"/>
        <v>3552.7799388599074</v>
      </c>
      <c r="L10" s="168">
        <f t="shared" si="1"/>
        <v>3552.7799388599074</v>
      </c>
      <c r="M10" s="169">
        <f>+pronostico!P9*20%</f>
        <v>14211.119755439629</v>
      </c>
      <c r="N10" s="170">
        <f t="shared" si="2"/>
        <v>33254020.227728732</v>
      </c>
      <c r="O10" s="171">
        <f t="shared" si="3"/>
        <v>16627010.113864366</v>
      </c>
      <c r="P10" s="170">
        <f t="shared" si="16"/>
        <v>7105.5598777198147</v>
      </c>
      <c r="Q10" s="172">
        <f t="shared" si="17"/>
        <v>7105.5598777198147</v>
      </c>
      <c r="R10" s="173">
        <f>+pronostico!P9*8%</f>
        <v>5684.4479021758516</v>
      </c>
      <c r="S10" s="174">
        <f t="shared" si="4"/>
        <v>13301608.091091493</v>
      </c>
      <c r="T10" s="175">
        <f t="shared" si="5"/>
        <v>6650804.0455457466</v>
      </c>
      <c r="U10" s="173">
        <f>+pronostico!P9*8%</f>
        <v>5684.4479021758516</v>
      </c>
      <c r="V10" s="176">
        <f t="shared" si="6"/>
        <v>13301608.091091493</v>
      </c>
      <c r="W10" s="177">
        <f t="shared" si="7"/>
        <v>6650804.0455457466</v>
      </c>
      <c r="X10" s="173">
        <f>+pronostico!P9*2%</f>
        <v>1421.1119755439629</v>
      </c>
      <c r="Y10" s="178">
        <f t="shared" si="8"/>
        <v>3325402.0227728733</v>
      </c>
      <c r="Z10" s="178">
        <f t="shared" si="9"/>
        <v>1662701.0113864366</v>
      </c>
      <c r="AA10" s="173">
        <f>+pronostico!P9*2%</f>
        <v>1421.1119755439629</v>
      </c>
      <c r="AB10" s="179">
        <f t="shared" si="10"/>
        <v>3325402.0227728733</v>
      </c>
      <c r="AC10" s="180">
        <f t="shared" si="11"/>
        <v>1662701.0113864366</v>
      </c>
      <c r="AD10" s="173">
        <f>+pronostico!P9*10%</f>
        <v>7105.5598777198147</v>
      </c>
      <c r="AE10" s="176">
        <f t="shared" si="18"/>
        <v>16627010.113864366</v>
      </c>
      <c r="AF10" s="177">
        <f t="shared" si="18"/>
        <v>8313505.056932183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+pronostico!P10*50%</f>
        <v>15014.305592292463</v>
      </c>
      <c r="G11" s="137">
        <f t="shared" si="13"/>
        <v>35133475.085964367</v>
      </c>
      <c r="H11" s="138">
        <f t="shared" si="13"/>
        <v>17566737.542982183</v>
      </c>
      <c r="I11" s="137">
        <f t="shared" si="14"/>
        <v>7507.1527961462316</v>
      </c>
      <c r="J11" s="139">
        <f t="shared" si="15"/>
        <v>4504.2916776877391</v>
      </c>
      <c r="K11" s="167">
        <f t="shared" si="0"/>
        <v>1501.4305592292465</v>
      </c>
      <c r="L11" s="168">
        <f t="shared" si="1"/>
        <v>1501.4305592292465</v>
      </c>
      <c r="M11" s="169">
        <f>+pronostico!P10*20%</f>
        <v>6005.7222369169858</v>
      </c>
      <c r="N11" s="170">
        <f t="shared" si="2"/>
        <v>14053390.034385746</v>
      </c>
      <c r="O11" s="171">
        <f t="shared" si="3"/>
        <v>7026695.0171928732</v>
      </c>
      <c r="P11" s="170">
        <f t="shared" si="16"/>
        <v>3002.8611184584929</v>
      </c>
      <c r="Q11" s="172">
        <f t="shared" si="17"/>
        <v>3002.8611184584929</v>
      </c>
      <c r="R11" s="173">
        <f>+pronostico!P10*8%</f>
        <v>2402.2888947667943</v>
      </c>
      <c r="S11" s="174">
        <f t="shared" si="4"/>
        <v>5621356.0137542989</v>
      </c>
      <c r="T11" s="175">
        <f t="shared" si="5"/>
        <v>2810678.0068771495</v>
      </c>
      <c r="U11" s="173">
        <f>+pronostico!P10*8%</f>
        <v>2402.2888947667943</v>
      </c>
      <c r="V11" s="176">
        <f t="shared" si="6"/>
        <v>5621356.0137542989</v>
      </c>
      <c r="W11" s="177">
        <f t="shared" si="7"/>
        <v>2810678.0068771495</v>
      </c>
      <c r="X11" s="173">
        <f>+pronostico!P10*2%</f>
        <v>600.57222369169858</v>
      </c>
      <c r="Y11" s="178">
        <f t="shared" si="8"/>
        <v>1405339.0034385747</v>
      </c>
      <c r="Z11" s="178">
        <f t="shared" si="9"/>
        <v>702669.50171928736</v>
      </c>
      <c r="AA11" s="173">
        <f>+pronostico!P10*2%</f>
        <v>600.57222369169858</v>
      </c>
      <c r="AB11" s="179">
        <f t="shared" si="10"/>
        <v>1405339.0034385747</v>
      </c>
      <c r="AC11" s="180">
        <f t="shared" si="11"/>
        <v>702669.50171928736</v>
      </c>
      <c r="AD11" s="173">
        <f>+pronostico!P10*10%</f>
        <v>3002.8611184584929</v>
      </c>
      <c r="AE11" s="176">
        <f t="shared" si="18"/>
        <v>7026695.0171928732</v>
      </c>
      <c r="AF11" s="177">
        <f t="shared" si="18"/>
        <v>3513347.5085964366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+pronostico!P11*50%</f>
        <v>59529.488077801798</v>
      </c>
      <c r="G12" s="137">
        <f t="shared" si="13"/>
        <v>133346053.29427603</v>
      </c>
      <c r="H12" s="138">
        <f t="shared" si="13"/>
        <v>66673026.647138014</v>
      </c>
      <c r="I12" s="137">
        <f t="shared" si="14"/>
        <v>29764.744038900899</v>
      </c>
      <c r="J12" s="139">
        <f t="shared" si="15"/>
        <v>17858.846423340539</v>
      </c>
      <c r="K12" s="167">
        <f t="shared" si="0"/>
        <v>5952.9488077801798</v>
      </c>
      <c r="L12" s="168">
        <f t="shared" si="1"/>
        <v>5952.9488077801798</v>
      </c>
      <c r="M12" s="169">
        <f>+pronostico!P11*20%</f>
        <v>23811.795231120719</v>
      </c>
      <c r="N12" s="170">
        <f t="shared" si="2"/>
        <v>53338421.317710415</v>
      </c>
      <c r="O12" s="171">
        <f t="shared" si="3"/>
        <v>26669210.658855207</v>
      </c>
      <c r="P12" s="170">
        <f t="shared" si="16"/>
        <v>11905.89761556036</v>
      </c>
      <c r="Q12" s="172">
        <f t="shared" si="17"/>
        <v>11905.89761556036</v>
      </c>
      <c r="R12" s="173">
        <f>+pronostico!P11*8%</f>
        <v>9524.7180924482873</v>
      </c>
      <c r="S12" s="174">
        <f t="shared" si="4"/>
        <v>21335368.527084164</v>
      </c>
      <c r="T12" s="175">
        <f t="shared" si="5"/>
        <v>10667684.263542082</v>
      </c>
      <c r="U12" s="173">
        <f>+pronostico!P11*8%</f>
        <v>9524.7180924482873</v>
      </c>
      <c r="V12" s="176">
        <f t="shared" si="6"/>
        <v>21335368.527084164</v>
      </c>
      <c r="W12" s="177">
        <f t="shared" si="7"/>
        <v>10667684.263542082</v>
      </c>
      <c r="X12" s="173">
        <f>+pronostico!P11*2%</f>
        <v>2381.1795231120718</v>
      </c>
      <c r="Y12" s="178">
        <f t="shared" si="8"/>
        <v>5333842.1317710411</v>
      </c>
      <c r="Z12" s="178">
        <f t="shared" si="9"/>
        <v>2666921.0658855205</v>
      </c>
      <c r="AA12" s="173">
        <f>+pronostico!P11*2%</f>
        <v>2381.1795231120718</v>
      </c>
      <c r="AB12" s="179">
        <f t="shared" si="10"/>
        <v>5333842.1317710411</v>
      </c>
      <c r="AC12" s="180">
        <f t="shared" si="11"/>
        <v>2666921.0658855205</v>
      </c>
      <c r="AD12" s="173">
        <f>+pronostico!P11*10%</f>
        <v>11905.89761556036</v>
      </c>
      <c r="AE12" s="176">
        <f t="shared" si="18"/>
        <v>26669210.658855207</v>
      </c>
      <c r="AF12" s="177">
        <f t="shared" si="18"/>
        <v>13334605.329427604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+pronostico!P12*50%</f>
        <v>48684.813393061217</v>
      </c>
      <c r="G13" s="137">
        <f t="shared" si="13"/>
        <v>111975070.8040408</v>
      </c>
      <c r="H13" s="138">
        <f t="shared" si="13"/>
        <v>55987535.402020402</v>
      </c>
      <c r="I13" s="137">
        <f t="shared" si="14"/>
        <v>24342.406696530608</v>
      </c>
      <c r="J13" s="139">
        <f t="shared" si="15"/>
        <v>14605.444017918364</v>
      </c>
      <c r="K13" s="167">
        <f t="shared" si="0"/>
        <v>4868.4813393061222</v>
      </c>
      <c r="L13" s="168">
        <f t="shared" si="1"/>
        <v>4868.4813393061222</v>
      </c>
      <c r="M13" s="169">
        <f>+pronostico!P12*20%</f>
        <v>19473.925357224489</v>
      </c>
      <c r="N13" s="170">
        <f t="shared" si="2"/>
        <v>44790028.321616322</v>
      </c>
      <c r="O13" s="171">
        <f t="shared" si="3"/>
        <v>22395014.160808161</v>
      </c>
      <c r="P13" s="170">
        <f t="shared" si="16"/>
        <v>9736.9626786122444</v>
      </c>
      <c r="Q13" s="172">
        <f t="shared" si="17"/>
        <v>9736.9626786122444</v>
      </c>
      <c r="R13" s="173">
        <f>+pronostico!P12*8%</f>
        <v>7789.5701428897946</v>
      </c>
      <c r="S13" s="174">
        <f t="shared" si="4"/>
        <v>17916011.328646529</v>
      </c>
      <c r="T13" s="175">
        <f t="shared" si="5"/>
        <v>8958005.6643232647</v>
      </c>
      <c r="U13" s="173">
        <f>+pronostico!P12*8%</f>
        <v>7789.5701428897946</v>
      </c>
      <c r="V13" s="176">
        <f t="shared" si="6"/>
        <v>17916011.328646529</v>
      </c>
      <c r="W13" s="177">
        <f t="shared" si="7"/>
        <v>8958005.6643232647</v>
      </c>
      <c r="X13" s="173">
        <f>+pronostico!P12*2%</f>
        <v>1947.3925357224487</v>
      </c>
      <c r="Y13" s="178">
        <f t="shared" si="8"/>
        <v>4479002.8321616324</v>
      </c>
      <c r="Z13" s="178">
        <f t="shared" si="9"/>
        <v>2239501.4160808162</v>
      </c>
      <c r="AA13" s="173">
        <f>+pronostico!P12*2%</f>
        <v>1947.3925357224487</v>
      </c>
      <c r="AB13" s="179">
        <f t="shared" si="10"/>
        <v>4479002.8321616324</v>
      </c>
      <c r="AC13" s="180">
        <f t="shared" si="11"/>
        <v>2239501.4160808162</v>
      </c>
      <c r="AD13" s="173">
        <f>+pronostico!P12*10%</f>
        <v>9736.9626786122444</v>
      </c>
      <c r="AE13" s="176">
        <f t="shared" si="18"/>
        <v>22395014.160808161</v>
      </c>
      <c r="AF13" s="177">
        <f t="shared" si="18"/>
        <v>11197507.08040408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+pronostico!P13*50%</f>
        <v>31421.769141711429</v>
      </c>
      <c r="G14" s="137">
        <f t="shared" si="13"/>
        <v>39591429.118556403</v>
      </c>
      <c r="H14" s="138">
        <f t="shared" si="13"/>
        <v>19795714.559278201</v>
      </c>
      <c r="I14" s="137">
        <f t="shared" si="14"/>
        <v>15710.884570855715</v>
      </c>
      <c r="J14" s="139">
        <f t="shared" si="15"/>
        <v>9426.5307425134288</v>
      </c>
      <c r="K14" s="167">
        <f t="shared" si="0"/>
        <v>3142.1769141711429</v>
      </c>
      <c r="L14" s="168">
        <f t="shared" si="1"/>
        <v>3142.1769141711429</v>
      </c>
      <c r="M14" s="169">
        <f>+pronostico!P13*20%</f>
        <v>12568.707656684572</v>
      </c>
      <c r="N14" s="170">
        <f t="shared" si="2"/>
        <v>15836571.64742256</v>
      </c>
      <c r="O14" s="171">
        <f t="shared" si="3"/>
        <v>7918285.8237112798</v>
      </c>
      <c r="P14" s="170">
        <f t="shared" si="16"/>
        <v>6284.3538283422859</v>
      </c>
      <c r="Q14" s="172">
        <f t="shared" si="17"/>
        <v>6284.3538283422859</v>
      </c>
      <c r="R14" s="173">
        <f>+pronostico!P13*8%</f>
        <v>5027.4830626738285</v>
      </c>
      <c r="S14" s="174">
        <f t="shared" si="4"/>
        <v>6334628.6589690242</v>
      </c>
      <c r="T14" s="175">
        <f t="shared" si="5"/>
        <v>3167314.3294845121</v>
      </c>
      <c r="U14" s="173">
        <f>+pronostico!P13*8%</f>
        <v>5027.4830626738285</v>
      </c>
      <c r="V14" s="176">
        <f t="shared" si="6"/>
        <v>6334628.6589690242</v>
      </c>
      <c r="W14" s="177">
        <f t="shared" si="7"/>
        <v>3167314.3294845121</v>
      </c>
      <c r="X14" s="173">
        <f>+pronostico!P13*2%</f>
        <v>1256.8707656684571</v>
      </c>
      <c r="Y14" s="178">
        <f t="shared" si="8"/>
        <v>1583657.164742256</v>
      </c>
      <c r="Z14" s="178">
        <f t="shared" si="9"/>
        <v>791828.58237112802</v>
      </c>
      <c r="AA14" s="173">
        <f>+pronostico!P13*2%</f>
        <v>1256.8707656684571</v>
      </c>
      <c r="AB14" s="179">
        <f t="shared" si="10"/>
        <v>1583657.164742256</v>
      </c>
      <c r="AC14" s="180">
        <f t="shared" si="11"/>
        <v>791828.58237112802</v>
      </c>
      <c r="AD14" s="173">
        <f>+pronostico!P13*10%</f>
        <v>6284.3538283422859</v>
      </c>
      <c r="AE14" s="176">
        <f t="shared" si="18"/>
        <v>7918285.8237112798</v>
      </c>
      <c r="AF14" s="177">
        <f t="shared" si="18"/>
        <v>3959142.9118556399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+pronostico!P14*50%</f>
        <v>24652.83863262946</v>
      </c>
      <c r="G15" s="137">
        <f t="shared" si="13"/>
        <v>31062576.67711312</v>
      </c>
      <c r="H15" s="138">
        <f t="shared" si="13"/>
        <v>15531288.33855656</v>
      </c>
      <c r="I15" s="137">
        <f t="shared" si="14"/>
        <v>12326.41931631473</v>
      </c>
      <c r="J15" s="139">
        <f t="shared" si="15"/>
        <v>7395.8515897888374</v>
      </c>
      <c r="K15" s="167">
        <f t="shared" si="0"/>
        <v>2465.2838632629464</v>
      </c>
      <c r="L15" s="168">
        <f t="shared" si="1"/>
        <v>2465.2838632629464</v>
      </c>
      <c r="M15" s="169">
        <f>+pronostico!P14*20%</f>
        <v>9861.1354530517856</v>
      </c>
      <c r="N15" s="170">
        <f t="shared" si="2"/>
        <v>12425030.67084525</v>
      </c>
      <c r="O15" s="171">
        <f t="shared" si="3"/>
        <v>6212515.3354226248</v>
      </c>
      <c r="P15" s="170">
        <f t="shared" si="16"/>
        <v>4930.5677265258928</v>
      </c>
      <c r="Q15" s="172">
        <f t="shared" si="17"/>
        <v>4930.5677265258928</v>
      </c>
      <c r="R15" s="173">
        <f>+pronostico!P14*8%</f>
        <v>3944.454181220714</v>
      </c>
      <c r="S15" s="174">
        <f t="shared" si="4"/>
        <v>4970012.2683381001</v>
      </c>
      <c r="T15" s="175">
        <f t="shared" si="5"/>
        <v>2485006.13416905</v>
      </c>
      <c r="U15" s="173">
        <f>+pronostico!P14*8%</f>
        <v>3944.454181220714</v>
      </c>
      <c r="V15" s="176">
        <f t="shared" si="6"/>
        <v>4970012.2683381001</v>
      </c>
      <c r="W15" s="177">
        <f t="shared" si="7"/>
        <v>2485006.13416905</v>
      </c>
      <c r="X15" s="173">
        <f>+pronostico!P14*2%</f>
        <v>986.11354530517849</v>
      </c>
      <c r="Y15" s="178">
        <f t="shared" si="8"/>
        <v>1242503.067084525</v>
      </c>
      <c r="Z15" s="178">
        <f t="shared" si="9"/>
        <v>621251.53354226251</v>
      </c>
      <c r="AA15" s="173">
        <f>+pronostico!P14*2%</f>
        <v>986.11354530517849</v>
      </c>
      <c r="AB15" s="179">
        <f t="shared" si="10"/>
        <v>1242503.067084525</v>
      </c>
      <c r="AC15" s="180">
        <f t="shared" si="11"/>
        <v>621251.53354226251</v>
      </c>
      <c r="AD15" s="173">
        <f>+pronostico!P14*10%</f>
        <v>4930.5677265258928</v>
      </c>
      <c r="AE15" s="176">
        <f t="shared" si="18"/>
        <v>6212515.3354226248</v>
      </c>
      <c r="AF15" s="177">
        <f t="shared" si="18"/>
        <v>3106257.6677113124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+pronostico!P15*50%</f>
        <v>36040.390630011163</v>
      </c>
      <c r="G16" s="137">
        <f t="shared" si="13"/>
        <v>97669458.607330248</v>
      </c>
      <c r="H16" s="138">
        <f t="shared" si="13"/>
        <v>48834729.303665124</v>
      </c>
      <c r="I16" s="137">
        <f t="shared" si="14"/>
        <v>18020.195315005582</v>
      </c>
      <c r="J16" s="139">
        <f t="shared" si="15"/>
        <v>10812.117189003349</v>
      </c>
      <c r="K16" s="167">
        <f t="shared" si="0"/>
        <v>3604.0390630011166</v>
      </c>
      <c r="L16" s="168">
        <f t="shared" si="1"/>
        <v>3604.0390630011166</v>
      </c>
      <c r="M16" s="169">
        <f>+pronostico!P15*20%</f>
        <v>14416.156252004466</v>
      </c>
      <c r="N16" s="170">
        <f t="shared" si="2"/>
        <v>39067783.442932107</v>
      </c>
      <c r="O16" s="171">
        <f t="shared" si="3"/>
        <v>19533891.721466053</v>
      </c>
      <c r="P16" s="170">
        <f t="shared" si="16"/>
        <v>7208.0781260022331</v>
      </c>
      <c r="Q16" s="172">
        <f t="shared" si="17"/>
        <v>7208.0781260022331</v>
      </c>
      <c r="R16" s="173">
        <f>+pronostico!P15*8%</f>
        <v>5766.4625008017865</v>
      </c>
      <c r="S16" s="174">
        <f t="shared" si="4"/>
        <v>15627113.377172841</v>
      </c>
      <c r="T16" s="175">
        <f t="shared" si="5"/>
        <v>7813556.6885864204</v>
      </c>
      <c r="U16" s="173">
        <f>+pronostico!P15*8%</f>
        <v>5766.4625008017865</v>
      </c>
      <c r="V16" s="176">
        <f t="shared" si="6"/>
        <v>15627113.377172841</v>
      </c>
      <c r="W16" s="177">
        <f t="shared" si="7"/>
        <v>7813556.6885864204</v>
      </c>
      <c r="X16" s="173">
        <f>+pronostico!P15*2%</f>
        <v>1441.6156252004466</v>
      </c>
      <c r="Y16" s="178">
        <f t="shared" si="8"/>
        <v>3906778.3442932102</v>
      </c>
      <c r="Z16" s="178">
        <f t="shared" si="9"/>
        <v>1953389.1721466051</v>
      </c>
      <c r="AA16" s="173">
        <f>+pronostico!P15*2%</f>
        <v>1441.6156252004466</v>
      </c>
      <c r="AB16" s="179">
        <f t="shared" si="10"/>
        <v>3906778.3442932102</v>
      </c>
      <c r="AC16" s="180">
        <f t="shared" si="11"/>
        <v>1953389.1721466051</v>
      </c>
      <c r="AD16" s="173">
        <f>+pronostico!P15*10%</f>
        <v>7208.0781260022331</v>
      </c>
      <c r="AE16" s="176">
        <f t="shared" si="18"/>
        <v>19533891.721466053</v>
      </c>
      <c r="AF16" s="177">
        <f t="shared" si="18"/>
        <v>9766945.8607330266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+pronostico!P16*50%</f>
        <v>35510.384885452127</v>
      </c>
      <c r="G17" s="137">
        <f t="shared" si="13"/>
        <v>52555369.630469151</v>
      </c>
      <c r="H17" s="138">
        <f t="shared" si="13"/>
        <v>26277684.815234575</v>
      </c>
      <c r="I17" s="137">
        <f t="shared" si="14"/>
        <v>17755.192442726064</v>
      </c>
      <c r="J17" s="139">
        <f t="shared" si="15"/>
        <v>10653.115465635638</v>
      </c>
      <c r="K17" s="167">
        <f t="shared" si="0"/>
        <v>3551.0384885452131</v>
      </c>
      <c r="L17" s="168">
        <f t="shared" si="1"/>
        <v>3551.0384885452131</v>
      </c>
      <c r="M17" s="169">
        <f>+pronostico!P16*20%</f>
        <v>14204.153954180852</v>
      </c>
      <c r="N17" s="170">
        <f t="shared" si="2"/>
        <v>21022147.852187663</v>
      </c>
      <c r="O17" s="171">
        <f t="shared" si="3"/>
        <v>10511073.926093832</v>
      </c>
      <c r="P17" s="170">
        <f t="shared" si="16"/>
        <v>7102.0769770904262</v>
      </c>
      <c r="Q17" s="172">
        <f t="shared" si="17"/>
        <v>7102.0769770904262</v>
      </c>
      <c r="R17" s="173">
        <f>+pronostico!P16*8%</f>
        <v>5681.6615816723406</v>
      </c>
      <c r="S17" s="174">
        <f t="shared" si="4"/>
        <v>8408859.1408750638</v>
      </c>
      <c r="T17" s="175">
        <f t="shared" si="5"/>
        <v>4204429.5704375319</v>
      </c>
      <c r="U17" s="173">
        <f>+pronostico!P16*8%</f>
        <v>5681.6615816723406</v>
      </c>
      <c r="V17" s="176">
        <f t="shared" si="6"/>
        <v>8408859.1408750638</v>
      </c>
      <c r="W17" s="177">
        <f t="shared" si="7"/>
        <v>4204429.5704375319</v>
      </c>
      <c r="X17" s="173">
        <f>+pronostico!P16*2%</f>
        <v>1420.4153954180852</v>
      </c>
      <c r="Y17" s="178">
        <f t="shared" si="8"/>
        <v>2102214.785218766</v>
      </c>
      <c r="Z17" s="178">
        <f t="shared" si="9"/>
        <v>1051107.392609383</v>
      </c>
      <c r="AA17" s="173">
        <f>+pronostico!P16*2%</f>
        <v>1420.4153954180852</v>
      </c>
      <c r="AB17" s="179">
        <f t="shared" si="10"/>
        <v>2102214.785218766</v>
      </c>
      <c r="AC17" s="180">
        <f t="shared" si="11"/>
        <v>1051107.392609383</v>
      </c>
      <c r="AD17" s="173">
        <f>+pronostico!P16*10%</f>
        <v>7102.0769770904262</v>
      </c>
      <c r="AE17" s="176">
        <f t="shared" si="18"/>
        <v>10511073.926093832</v>
      </c>
      <c r="AF17" s="177">
        <f t="shared" si="18"/>
        <v>5255536.9630469158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+pronostico!P17*50%</f>
        <v>96525.550448640002</v>
      </c>
      <c r="G18" s="137">
        <f t="shared" si="13"/>
        <v>227800299.05879042</v>
      </c>
      <c r="H18" s="138">
        <f t="shared" si="13"/>
        <v>113900149.52939521</v>
      </c>
      <c r="I18" s="137">
        <f t="shared" si="14"/>
        <v>48262.775224320001</v>
      </c>
      <c r="J18" s="139">
        <f t="shared" si="15"/>
        <v>28957.665134592</v>
      </c>
      <c r="K18" s="167">
        <f t="shared" si="0"/>
        <v>9652.5550448640006</v>
      </c>
      <c r="L18" s="168">
        <f t="shared" si="1"/>
        <v>9652.5550448640006</v>
      </c>
      <c r="M18" s="169">
        <f>+pronostico!P17*20%</f>
        <v>38610.220179456002</v>
      </c>
      <c r="N18" s="170">
        <f t="shared" si="2"/>
        <v>91120119.623516172</v>
      </c>
      <c r="O18" s="171">
        <f t="shared" si="3"/>
        <v>45560059.811758086</v>
      </c>
      <c r="P18" s="170">
        <f t="shared" si="16"/>
        <v>19305.110089728001</v>
      </c>
      <c r="Q18" s="172">
        <f t="shared" si="17"/>
        <v>19305.110089728001</v>
      </c>
      <c r="R18" s="173">
        <f>+pronostico!P17*8%</f>
        <v>15444.0880717824</v>
      </c>
      <c r="S18" s="174">
        <f t="shared" si="4"/>
        <v>36448047.849406466</v>
      </c>
      <c r="T18" s="175">
        <f t="shared" si="5"/>
        <v>18224023.924703233</v>
      </c>
      <c r="U18" s="173">
        <f>+pronostico!P17*8%</f>
        <v>15444.0880717824</v>
      </c>
      <c r="V18" s="176">
        <f t="shared" si="6"/>
        <v>36448047.849406466</v>
      </c>
      <c r="W18" s="177">
        <f t="shared" si="7"/>
        <v>18224023.924703233</v>
      </c>
      <c r="X18" s="173">
        <f>+pronostico!P17*2%</f>
        <v>3861.0220179456001</v>
      </c>
      <c r="Y18" s="178">
        <f t="shared" si="8"/>
        <v>9112011.9623516165</v>
      </c>
      <c r="Z18" s="178">
        <f t="shared" si="9"/>
        <v>4556005.9811758082</v>
      </c>
      <c r="AA18" s="173">
        <f>+pronostico!P17*2%</f>
        <v>3861.0220179456001</v>
      </c>
      <c r="AB18" s="179">
        <f t="shared" si="10"/>
        <v>9112011.9623516165</v>
      </c>
      <c r="AC18" s="180">
        <f t="shared" si="11"/>
        <v>4556005.9811758082</v>
      </c>
      <c r="AD18" s="173">
        <f>+pronostico!P17*10%</f>
        <v>19305.110089728001</v>
      </c>
      <c r="AE18" s="176">
        <f t="shared" si="18"/>
        <v>45560059.811758086</v>
      </c>
      <c r="AF18" s="177">
        <f t="shared" si="18"/>
        <v>22780029.905879043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+pronostico!P18*50%</f>
        <v>22536.691568640003</v>
      </c>
      <c r="G19" s="137">
        <f t="shared" si="13"/>
        <v>112683457.84320001</v>
      </c>
      <c r="H19" s="138">
        <f t="shared" si="13"/>
        <v>45073383.13728001</v>
      </c>
      <c r="I19" s="137">
        <f>+F19*60%</f>
        <v>13522.014941184001</v>
      </c>
      <c r="J19" s="139">
        <f t="shared" si="15"/>
        <v>6761.0074705920006</v>
      </c>
      <c r="K19" s="167">
        <f t="shared" si="0"/>
        <v>2253.6691568640003</v>
      </c>
      <c r="L19" s="168" t="s">
        <v>21</v>
      </c>
      <c r="M19" s="169">
        <f>+pronostico!P18*20%</f>
        <v>9014.6766274560014</v>
      </c>
      <c r="N19" s="170">
        <f t="shared" si="2"/>
        <v>45073383.13728001</v>
      </c>
      <c r="O19" s="171">
        <f t="shared" si="3"/>
        <v>18029353.254912004</v>
      </c>
      <c r="P19" s="170">
        <f t="shared" si="16"/>
        <v>4507.3383137280007</v>
      </c>
      <c r="Q19" s="172">
        <f t="shared" si="17"/>
        <v>4507.3383137280007</v>
      </c>
      <c r="R19" s="173">
        <f>+pronostico!P18*8%</f>
        <v>3605.8706509824005</v>
      </c>
      <c r="S19" s="174">
        <f t="shared" si="4"/>
        <v>18029353.254912004</v>
      </c>
      <c r="T19" s="175">
        <f t="shared" si="5"/>
        <v>7211741.3019648017</v>
      </c>
      <c r="U19" s="173">
        <f>+pronostico!P18*8%</f>
        <v>3605.8706509824005</v>
      </c>
      <c r="V19" s="176">
        <f t="shared" si="6"/>
        <v>18029353.254912004</v>
      </c>
      <c r="W19" s="177">
        <f t="shared" si="7"/>
        <v>7211741.3019648017</v>
      </c>
      <c r="X19" s="173">
        <f>+pronostico!P18*2%</f>
        <v>901.46766274560014</v>
      </c>
      <c r="Y19" s="178">
        <f t="shared" si="8"/>
        <v>4507338.313728001</v>
      </c>
      <c r="Z19" s="178">
        <f t="shared" si="9"/>
        <v>1802935.3254912004</v>
      </c>
      <c r="AA19" s="173">
        <f>+pronostico!P18*2%</f>
        <v>901.46766274560014</v>
      </c>
      <c r="AB19" s="179">
        <f t="shared" si="10"/>
        <v>4507338.313728001</v>
      </c>
      <c r="AC19" s="180">
        <f t="shared" si="11"/>
        <v>1802935.3254912004</v>
      </c>
      <c r="AD19" s="173">
        <f>+pronostico!P18*10%</f>
        <v>4507.3383137280007</v>
      </c>
      <c r="AE19" s="176">
        <f t="shared" si="18"/>
        <v>22536691.568640005</v>
      </c>
      <c r="AF19" s="177">
        <f t="shared" si="18"/>
        <v>9014676.6274560019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+pronostico!P19*50%</f>
        <v>16246.064332800002</v>
      </c>
      <c r="G20" s="137">
        <f t="shared" si="13"/>
        <v>58323370.954752006</v>
      </c>
      <c r="H20" s="138">
        <f t="shared" si="13"/>
        <v>23329348.381900802</v>
      </c>
      <c r="I20" s="137">
        <f t="shared" si="14"/>
        <v>8123.0321664000012</v>
      </c>
      <c r="J20" s="139">
        <f t="shared" si="15"/>
        <v>4873.8192998400009</v>
      </c>
      <c r="K20" s="167">
        <f t="shared" si="0"/>
        <v>1624.6064332800004</v>
      </c>
      <c r="L20" s="168">
        <f>+F20*10%</f>
        <v>1624.6064332800004</v>
      </c>
      <c r="M20" s="169">
        <f>+pronostico!P19*20%</f>
        <v>6498.4257331200015</v>
      </c>
      <c r="N20" s="170">
        <f t="shared" si="2"/>
        <v>23329348.381900806</v>
      </c>
      <c r="O20" s="171">
        <f t="shared" si="3"/>
        <v>9331739.3527603224</v>
      </c>
      <c r="P20" s="170">
        <f t="shared" si="16"/>
        <v>3249.2128665600007</v>
      </c>
      <c r="Q20" s="172">
        <f t="shared" si="17"/>
        <v>3249.2128665600007</v>
      </c>
      <c r="R20" s="173">
        <f>+pronostico!P19*8%</f>
        <v>2599.3702932480005</v>
      </c>
      <c r="S20" s="174">
        <f t="shared" si="4"/>
        <v>9331739.3527603224</v>
      </c>
      <c r="T20" s="175">
        <f t="shared" si="5"/>
        <v>3732695.7411041292</v>
      </c>
      <c r="U20" s="173">
        <f>+pronostico!P19*8%</f>
        <v>2599.3702932480005</v>
      </c>
      <c r="V20" s="176">
        <f t="shared" si="6"/>
        <v>9331739.3527603224</v>
      </c>
      <c r="W20" s="177">
        <f t="shared" si="7"/>
        <v>3732695.7411041292</v>
      </c>
      <c r="X20" s="173">
        <f>+pronostico!P19*2%</f>
        <v>649.84257331200013</v>
      </c>
      <c r="Y20" s="178">
        <f t="shared" si="8"/>
        <v>2332934.8381900806</v>
      </c>
      <c r="Z20" s="178">
        <f t="shared" si="9"/>
        <v>933173.93527603231</v>
      </c>
      <c r="AA20" s="173">
        <f>+pronostico!P19*2%</f>
        <v>649.84257331200013</v>
      </c>
      <c r="AB20" s="179">
        <f t="shared" si="10"/>
        <v>2332934.8381900806</v>
      </c>
      <c r="AC20" s="180">
        <f t="shared" si="11"/>
        <v>933173.93527603231</v>
      </c>
      <c r="AD20" s="173">
        <f>+pronostico!P19*10%</f>
        <v>3249.2128665600007</v>
      </c>
      <c r="AE20" s="176">
        <f t="shared" si="18"/>
        <v>11664674.190950403</v>
      </c>
      <c r="AF20" s="177">
        <f t="shared" si="18"/>
        <v>4665869.6763801612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+pronostico!P20*50%</f>
        <v>15490.433433600003</v>
      </c>
      <c r="G21" s="137">
        <f t="shared" si="13"/>
        <v>190997044.23628804</v>
      </c>
      <c r="H21" s="138">
        <f t="shared" si="13"/>
        <v>76398817.694515213</v>
      </c>
      <c r="I21" s="137">
        <f>+F21*60%</f>
        <v>9294.2600601600006</v>
      </c>
      <c r="J21" s="139">
        <f t="shared" si="15"/>
        <v>4647.1300300800003</v>
      </c>
      <c r="K21" s="167">
        <f t="shared" si="0"/>
        <v>1549.0433433600003</v>
      </c>
      <c r="L21" s="168" t="s">
        <v>21</v>
      </c>
      <c r="M21" s="169">
        <f>+pronostico!P20*20%</f>
        <v>6196.1733734400013</v>
      </c>
      <c r="N21" s="170">
        <f t="shared" si="2"/>
        <v>76398817.694515213</v>
      </c>
      <c r="O21" s="171">
        <f t="shared" si="3"/>
        <v>30559527.077806085</v>
      </c>
      <c r="P21" s="170">
        <f t="shared" si="16"/>
        <v>3098.0866867200007</v>
      </c>
      <c r="Q21" s="172">
        <f t="shared" si="17"/>
        <v>3098.0866867200007</v>
      </c>
      <c r="R21" s="173">
        <f>+pronostico!P20*8%</f>
        <v>2478.4693493760005</v>
      </c>
      <c r="S21" s="174">
        <f t="shared" si="4"/>
        <v>30559527.077806085</v>
      </c>
      <c r="T21" s="175">
        <f t="shared" si="5"/>
        <v>12223810.831122436</v>
      </c>
      <c r="U21" s="173">
        <f>+pronostico!P20*8%</f>
        <v>2478.4693493760005</v>
      </c>
      <c r="V21" s="176">
        <f t="shared" si="6"/>
        <v>30559527.077806085</v>
      </c>
      <c r="W21" s="177">
        <f t="shared" si="7"/>
        <v>12223810.831122436</v>
      </c>
      <c r="X21" s="173">
        <f>+pronostico!P20*2%</f>
        <v>619.61733734400013</v>
      </c>
      <c r="Y21" s="178">
        <f t="shared" si="8"/>
        <v>7639881.7694515213</v>
      </c>
      <c r="Z21" s="178">
        <f t="shared" si="9"/>
        <v>3055952.7077806089</v>
      </c>
      <c r="AA21" s="173">
        <f>+pronostico!P20*2%</f>
        <v>619.61733734400013</v>
      </c>
      <c r="AB21" s="179">
        <f t="shared" si="10"/>
        <v>7639881.7694515213</v>
      </c>
      <c r="AC21" s="180">
        <f t="shared" si="11"/>
        <v>3055952.7077806089</v>
      </c>
      <c r="AD21" s="173">
        <f>+pronostico!P20*10%</f>
        <v>3098.0866867200007</v>
      </c>
      <c r="AE21" s="176">
        <f t="shared" ref="AE21:AF36" si="20">+AD21*D21</f>
        <v>38199408.847257607</v>
      </c>
      <c r="AF21" s="177">
        <f t="shared" si="20"/>
        <v>15279763.538903043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+pronostico!P21*50%</f>
        <v>13582.46541312</v>
      </c>
      <c r="G22" s="137">
        <f t="shared" si="13"/>
        <v>101596841.2901376</v>
      </c>
      <c r="H22" s="138">
        <f t="shared" si="13"/>
        <v>40638736.516055048</v>
      </c>
      <c r="I22" s="137">
        <f t="shared" ref="I22:I51" si="21">+F22*60%</f>
        <v>8149.4792478720001</v>
      </c>
      <c r="J22" s="139">
        <f t="shared" si="15"/>
        <v>4074.739623936</v>
      </c>
      <c r="K22" s="167">
        <f t="shared" si="0"/>
        <v>1358.2465413120001</v>
      </c>
      <c r="L22" s="168" t="s">
        <v>21</v>
      </c>
      <c r="M22" s="169">
        <f>+pronostico!P21*20%</f>
        <v>5432.9861652480004</v>
      </c>
      <c r="N22" s="170">
        <f t="shared" si="2"/>
        <v>40638736.51605504</v>
      </c>
      <c r="O22" s="171">
        <f t="shared" si="3"/>
        <v>16255494.606422016</v>
      </c>
      <c r="P22" s="170">
        <f t="shared" si="16"/>
        <v>2716.4930826240002</v>
      </c>
      <c r="Q22" s="172">
        <f t="shared" si="17"/>
        <v>2716.4930826240002</v>
      </c>
      <c r="R22" s="173">
        <f>+pronostico!P21*8%</f>
        <v>2173.1944660992003</v>
      </c>
      <c r="S22" s="174">
        <f t="shared" si="4"/>
        <v>16255494.606422018</v>
      </c>
      <c r="T22" s="175">
        <f t="shared" si="5"/>
        <v>6502197.8425688073</v>
      </c>
      <c r="U22" s="173">
        <f>+pronostico!P21*8%</f>
        <v>2173.1944660992003</v>
      </c>
      <c r="V22" s="176">
        <f t="shared" si="6"/>
        <v>16255494.606422018</v>
      </c>
      <c r="W22" s="177">
        <f t="shared" si="7"/>
        <v>6502197.8425688073</v>
      </c>
      <c r="X22" s="173">
        <f>+pronostico!P21*2%</f>
        <v>543.29861652480008</v>
      </c>
      <c r="Y22" s="178">
        <f t="shared" si="8"/>
        <v>4063873.6516055046</v>
      </c>
      <c r="Z22" s="178">
        <f t="shared" si="9"/>
        <v>1625549.4606422018</v>
      </c>
      <c r="AA22" s="173">
        <f>+pronostico!P21*2%</f>
        <v>543.29861652480008</v>
      </c>
      <c r="AB22" s="179">
        <f t="shared" si="10"/>
        <v>4063873.6516055046</v>
      </c>
      <c r="AC22" s="180">
        <f t="shared" si="11"/>
        <v>1625549.4606422018</v>
      </c>
      <c r="AD22" s="173">
        <f>+pronostico!P21*10%</f>
        <v>2716.4930826240002</v>
      </c>
      <c r="AE22" s="176">
        <f t="shared" si="20"/>
        <v>20319368.25802752</v>
      </c>
      <c r="AF22" s="177">
        <f t="shared" si="20"/>
        <v>8127747.3032110082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+pronostico!P22*50%</f>
        <v>9193.5092736000006</v>
      </c>
      <c r="G23" s="137">
        <f t="shared" si="13"/>
        <v>37693388.021760002</v>
      </c>
      <c r="H23" s="138">
        <f t="shared" si="13"/>
        <v>15077355.208704002</v>
      </c>
      <c r="I23" s="137">
        <f t="shared" si="21"/>
        <v>5516.1055641600005</v>
      </c>
      <c r="J23" s="139">
        <f t="shared" si="15"/>
        <v>2758.0527820800003</v>
      </c>
      <c r="K23" s="167">
        <f t="shared" si="0"/>
        <v>919.35092736000013</v>
      </c>
      <c r="L23" s="168" t="s">
        <v>21</v>
      </c>
      <c r="M23" s="169">
        <f>+pronostico!P22*20%</f>
        <v>3677.4037094400005</v>
      </c>
      <c r="N23" s="170">
        <f t="shared" si="2"/>
        <v>15077355.208704002</v>
      </c>
      <c r="O23" s="171">
        <f t="shared" si="3"/>
        <v>6030942.0834816014</v>
      </c>
      <c r="P23" s="170">
        <f t="shared" si="16"/>
        <v>1838.7018547200003</v>
      </c>
      <c r="Q23" s="172">
        <f t="shared" si="17"/>
        <v>1838.7018547200003</v>
      </c>
      <c r="R23" s="173">
        <f>+pronostico!P22*8%</f>
        <v>1470.961483776</v>
      </c>
      <c r="S23" s="174">
        <f t="shared" si="4"/>
        <v>6030942.0834816005</v>
      </c>
      <c r="T23" s="175">
        <f t="shared" si="5"/>
        <v>2412376.8333926401</v>
      </c>
      <c r="U23" s="173">
        <f>+pronostico!P22*8%</f>
        <v>1470.961483776</v>
      </c>
      <c r="V23" s="176">
        <f t="shared" si="6"/>
        <v>6030942.0834816005</v>
      </c>
      <c r="W23" s="177">
        <f t="shared" si="7"/>
        <v>2412376.8333926401</v>
      </c>
      <c r="X23" s="173">
        <f>+pronostico!P22*2%</f>
        <v>367.74037094400001</v>
      </c>
      <c r="Y23" s="178">
        <f t="shared" si="8"/>
        <v>1507735.5208704001</v>
      </c>
      <c r="Z23" s="178">
        <f t="shared" si="9"/>
        <v>603094.20834816003</v>
      </c>
      <c r="AA23" s="173">
        <f>+pronostico!P22*2%</f>
        <v>367.74037094400001</v>
      </c>
      <c r="AB23" s="179">
        <f t="shared" si="10"/>
        <v>1507735.5208704001</v>
      </c>
      <c r="AC23" s="180">
        <f t="shared" si="11"/>
        <v>603094.20834816003</v>
      </c>
      <c r="AD23" s="173">
        <f>+pronostico!P22*10%</f>
        <v>1838.7018547200003</v>
      </c>
      <c r="AE23" s="176">
        <f t="shared" si="20"/>
        <v>7538677.6043520011</v>
      </c>
      <c r="AF23" s="177">
        <f t="shared" si="20"/>
        <v>3015471.0417408007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+pronostico!P23*50%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+pronostico!P23*20%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+pronostico!P23*8%</f>
        <v>2000</v>
      </c>
      <c r="S24" s="174">
        <f t="shared" si="4"/>
        <v>6600000</v>
      </c>
      <c r="T24" s="175">
        <f t="shared" si="5"/>
        <v>3300000</v>
      </c>
      <c r="U24" s="173">
        <f>+pronostico!P23*8%</f>
        <v>2000</v>
      </c>
      <c r="V24" s="176">
        <f t="shared" si="6"/>
        <v>6600000</v>
      </c>
      <c r="W24" s="177">
        <f t="shared" si="7"/>
        <v>3300000</v>
      </c>
      <c r="X24" s="173">
        <f>+pronostico!P23*2%</f>
        <v>500</v>
      </c>
      <c r="Y24" s="178">
        <f t="shared" si="8"/>
        <v>1650000</v>
      </c>
      <c r="Z24" s="178">
        <f t="shared" si="9"/>
        <v>825000</v>
      </c>
      <c r="AA24" s="173">
        <f>+pronostico!P23*2%</f>
        <v>500</v>
      </c>
      <c r="AB24" s="179">
        <f t="shared" si="10"/>
        <v>1650000</v>
      </c>
      <c r="AC24" s="180">
        <f t="shared" si="11"/>
        <v>825000</v>
      </c>
      <c r="AD24" s="173">
        <f>+pronostico!P23*10%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+pronostico!P24*50%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+pronostico!P24*20%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+pronostico!P24*8%</f>
        <v>2400</v>
      </c>
      <c r="S25" s="174">
        <f t="shared" si="4"/>
        <v>7200000</v>
      </c>
      <c r="T25" s="175">
        <f t="shared" si="5"/>
        <v>3600000</v>
      </c>
      <c r="U25" s="173">
        <f>+pronostico!P24*8%</f>
        <v>2400</v>
      </c>
      <c r="V25" s="176">
        <f t="shared" si="6"/>
        <v>7200000</v>
      </c>
      <c r="W25" s="177">
        <f t="shared" si="7"/>
        <v>3600000</v>
      </c>
      <c r="X25" s="173">
        <f>+pronostico!P24*2%</f>
        <v>600</v>
      </c>
      <c r="Y25" s="178">
        <f t="shared" si="8"/>
        <v>1800000</v>
      </c>
      <c r="Z25" s="178">
        <f t="shared" si="9"/>
        <v>900000</v>
      </c>
      <c r="AA25" s="173">
        <f>+pronostico!P24*2%</f>
        <v>600</v>
      </c>
      <c r="AB25" s="179">
        <f t="shared" si="10"/>
        <v>1800000</v>
      </c>
      <c r="AC25" s="180">
        <f t="shared" si="11"/>
        <v>900000</v>
      </c>
      <c r="AD25" s="173">
        <f>+pronostico!P24*10%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+pronostico!P25*50%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+pronostico!P25*20%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+pronostico!P25*8%</f>
        <v>3200</v>
      </c>
      <c r="S26" s="174">
        <f t="shared" si="4"/>
        <v>12160000</v>
      </c>
      <c r="T26" s="175">
        <f t="shared" si="5"/>
        <v>4864000</v>
      </c>
      <c r="U26" s="173">
        <f>+pronostico!P25*8%</f>
        <v>3200</v>
      </c>
      <c r="V26" s="176">
        <f t="shared" si="6"/>
        <v>12160000</v>
      </c>
      <c r="W26" s="177">
        <f t="shared" si="7"/>
        <v>4864000</v>
      </c>
      <c r="X26" s="173">
        <f>+pronostico!P25*2%</f>
        <v>800</v>
      </c>
      <c r="Y26" s="178">
        <f t="shared" si="8"/>
        <v>3040000</v>
      </c>
      <c r="Z26" s="178">
        <f t="shared" si="9"/>
        <v>1216000</v>
      </c>
      <c r="AA26" s="173">
        <f>+pronostico!P25*2%</f>
        <v>800</v>
      </c>
      <c r="AB26" s="179">
        <f t="shared" si="10"/>
        <v>3040000</v>
      </c>
      <c r="AC26" s="180">
        <f t="shared" si="11"/>
        <v>1216000</v>
      </c>
      <c r="AD26" s="173">
        <f>+pronostico!P25*10%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+pronostico!P26*50%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+pronostico!P26*20%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+pronostico!P26*8%</f>
        <v>4800</v>
      </c>
      <c r="S27" s="174">
        <f t="shared" si="4"/>
        <v>11040000</v>
      </c>
      <c r="T27" s="175">
        <f t="shared" si="5"/>
        <v>5520000</v>
      </c>
      <c r="U27" s="173">
        <f>+pronostico!P26*8%</f>
        <v>4800</v>
      </c>
      <c r="V27" s="176">
        <f t="shared" si="6"/>
        <v>11040000</v>
      </c>
      <c r="W27" s="177">
        <f t="shared" si="7"/>
        <v>5520000</v>
      </c>
      <c r="X27" s="173">
        <f>+pronostico!P26*2%</f>
        <v>1200</v>
      </c>
      <c r="Y27" s="178">
        <f t="shared" si="8"/>
        <v>2760000</v>
      </c>
      <c r="Z27" s="178">
        <f t="shared" si="9"/>
        <v>1380000</v>
      </c>
      <c r="AA27" s="173">
        <f>+pronostico!P26*2%</f>
        <v>1200</v>
      </c>
      <c r="AB27" s="179">
        <f t="shared" si="10"/>
        <v>2760000</v>
      </c>
      <c r="AC27" s="180">
        <f t="shared" si="11"/>
        <v>1380000</v>
      </c>
      <c r="AD27" s="173">
        <f>+pronostico!P26*10%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+pronostico!P27*50%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+pronostico!P27*20%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+pronostico!P27*8%</f>
        <v>2400</v>
      </c>
      <c r="S28" s="174">
        <f t="shared" si="4"/>
        <v>9360000</v>
      </c>
      <c r="T28" s="175">
        <f t="shared" si="5"/>
        <v>3744000</v>
      </c>
      <c r="U28" s="173">
        <f>+pronostico!P27*8%</f>
        <v>2400</v>
      </c>
      <c r="V28" s="176">
        <f t="shared" si="6"/>
        <v>9360000</v>
      </c>
      <c r="W28" s="177">
        <f t="shared" si="7"/>
        <v>3744000</v>
      </c>
      <c r="X28" s="173">
        <f>+pronostico!P27*2%</f>
        <v>600</v>
      </c>
      <c r="Y28" s="178">
        <f t="shared" si="8"/>
        <v>2340000</v>
      </c>
      <c r="Z28" s="178">
        <f t="shared" si="9"/>
        <v>936000</v>
      </c>
      <c r="AA28" s="173">
        <f>+pronostico!P27*2%</f>
        <v>600</v>
      </c>
      <c r="AB28" s="179">
        <f t="shared" si="10"/>
        <v>2340000</v>
      </c>
      <c r="AC28" s="180">
        <f t="shared" si="11"/>
        <v>936000</v>
      </c>
      <c r="AD28" s="173">
        <f>+pronostico!P27*10%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+pronostico!P28*50%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+pronostico!P28*20%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+pronostico!P28*8%</f>
        <v>5200</v>
      </c>
      <c r="S29" s="174">
        <f t="shared" si="4"/>
        <v>15600000</v>
      </c>
      <c r="T29" s="175">
        <f t="shared" si="5"/>
        <v>7800000</v>
      </c>
      <c r="U29" s="173">
        <f>+pronostico!P28*8%</f>
        <v>5200</v>
      </c>
      <c r="V29" s="176">
        <f t="shared" si="6"/>
        <v>15600000</v>
      </c>
      <c r="W29" s="177">
        <f t="shared" si="7"/>
        <v>7800000</v>
      </c>
      <c r="X29" s="173">
        <f>+pronostico!P28*2%</f>
        <v>1300</v>
      </c>
      <c r="Y29" s="178">
        <f t="shared" si="8"/>
        <v>3900000</v>
      </c>
      <c r="Z29" s="178">
        <f t="shared" si="9"/>
        <v>1950000</v>
      </c>
      <c r="AA29" s="173">
        <f>+pronostico!P28*2%</f>
        <v>1300</v>
      </c>
      <c r="AB29" s="179">
        <f t="shared" si="10"/>
        <v>3900000</v>
      </c>
      <c r="AC29" s="180">
        <f t="shared" si="11"/>
        <v>1950000</v>
      </c>
      <c r="AD29" s="173">
        <f>+pronostico!P28*10%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+pronostico!P29*50%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+pronostico!P29*20%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+pronostico!P29*8%</f>
        <v>2000</v>
      </c>
      <c r="S30" s="174">
        <f t="shared" si="4"/>
        <v>8200000</v>
      </c>
      <c r="T30" s="175">
        <f t="shared" si="5"/>
        <v>3280000</v>
      </c>
      <c r="U30" s="173">
        <f>+pronostico!P29*8%</f>
        <v>2000</v>
      </c>
      <c r="V30" s="176">
        <f t="shared" si="6"/>
        <v>8200000</v>
      </c>
      <c r="W30" s="177">
        <f t="shared" si="7"/>
        <v>3280000</v>
      </c>
      <c r="X30" s="173">
        <f>+pronostico!P29*2%</f>
        <v>500</v>
      </c>
      <c r="Y30" s="178">
        <f t="shared" si="8"/>
        <v>2050000</v>
      </c>
      <c r="Z30" s="178">
        <f t="shared" si="9"/>
        <v>820000</v>
      </c>
      <c r="AA30" s="173">
        <f>+pronostico!P29*2%</f>
        <v>500</v>
      </c>
      <c r="AB30" s="179">
        <f t="shared" si="10"/>
        <v>2050000</v>
      </c>
      <c r="AC30" s="180">
        <f t="shared" si="11"/>
        <v>820000</v>
      </c>
      <c r="AD30" s="173">
        <f>+pronostico!P29*10%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+pronostico!P30*50%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+pronostico!P30*20%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+pronostico!P30*8%</f>
        <v>2000</v>
      </c>
      <c r="S31" s="174">
        <f t="shared" si="4"/>
        <v>4700000</v>
      </c>
      <c r="T31" s="175">
        <f t="shared" si="5"/>
        <v>2350000</v>
      </c>
      <c r="U31" s="173">
        <f>+pronostico!P30*8%</f>
        <v>2000</v>
      </c>
      <c r="V31" s="176">
        <f t="shared" si="6"/>
        <v>4700000</v>
      </c>
      <c r="W31" s="177">
        <f t="shared" si="7"/>
        <v>2350000</v>
      </c>
      <c r="X31" s="173">
        <f>+pronostico!P30*2%</f>
        <v>500</v>
      </c>
      <c r="Y31" s="178">
        <f t="shared" si="8"/>
        <v>1175000</v>
      </c>
      <c r="Z31" s="178">
        <f t="shared" si="9"/>
        <v>587500</v>
      </c>
      <c r="AA31" s="173">
        <f>+pronostico!P30*2%</f>
        <v>500</v>
      </c>
      <c r="AB31" s="179">
        <f t="shared" si="10"/>
        <v>1175000</v>
      </c>
      <c r="AC31" s="180">
        <f t="shared" si="11"/>
        <v>587500</v>
      </c>
      <c r="AD31" s="173">
        <f>+pronostico!P30*10%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+pronostico!P31*50%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+pronostico!P31*20%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+pronostico!P31*8%</f>
        <v>1600</v>
      </c>
      <c r="S32" s="174">
        <f t="shared" si="4"/>
        <v>4800000</v>
      </c>
      <c r="T32" s="175">
        <f t="shared" si="5"/>
        <v>2400000</v>
      </c>
      <c r="U32" s="173">
        <f>+pronostico!P31*8%</f>
        <v>1600</v>
      </c>
      <c r="V32" s="176">
        <f t="shared" si="6"/>
        <v>4800000</v>
      </c>
      <c r="W32" s="177">
        <f t="shared" si="7"/>
        <v>2400000</v>
      </c>
      <c r="X32" s="173">
        <f>+pronostico!P31*2%</f>
        <v>400</v>
      </c>
      <c r="Y32" s="178">
        <f t="shared" si="8"/>
        <v>1200000</v>
      </c>
      <c r="Z32" s="178">
        <f t="shared" si="9"/>
        <v>600000</v>
      </c>
      <c r="AA32" s="173">
        <f>+pronostico!P31*2%</f>
        <v>400</v>
      </c>
      <c r="AB32" s="179">
        <f t="shared" si="10"/>
        <v>1200000</v>
      </c>
      <c r="AC32" s="180">
        <f t="shared" si="11"/>
        <v>600000</v>
      </c>
      <c r="AD32" s="173">
        <f>+pronostico!P31*10%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+pronostico!P32*50%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+pronostico!P32*20%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+pronostico!P32*8%</f>
        <v>1200</v>
      </c>
      <c r="S33" s="174">
        <f t="shared" si="4"/>
        <v>2760000</v>
      </c>
      <c r="T33" s="175">
        <f t="shared" si="5"/>
        <v>1380000</v>
      </c>
      <c r="U33" s="173">
        <f>+pronostico!P32*8%</f>
        <v>1200</v>
      </c>
      <c r="V33" s="176">
        <f t="shared" si="6"/>
        <v>2760000</v>
      </c>
      <c r="W33" s="177">
        <f t="shared" si="7"/>
        <v>1380000</v>
      </c>
      <c r="X33" s="173">
        <f>+pronostico!P32*2%</f>
        <v>300</v>
      </c>
      <c r="Y33" s="178">
        <f t="shared" si="8"/>
        <v>690000</v>
      </c>
      <c r="Z33" s="178">
        <f t="shared" si="9"/>
        <v>345000</v>
      </c>
      <c r="AA33" s="173">
        <f>+pronostico!P32*2%</f>
        <v>300</v>
      </c>
      <c r="AB33" s="179">
        <f t="shared" si="10"/>
        <v>690000</v>
      </c>
      <c r="AC33" s="180">
        <f t="shared" si="11"/>
        <v>345000</v>
      </c>
      <c r="AD33" s="173">
        <f>+pronostico!P32*10%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+pronostico!P33*50%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+pronostico!P33*20%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+pronostico!P33*8%</f>
        <v>1600</v>
      </c>
      <c r="S34" s="174">
        <f t="shared" si="4"/>
        <v>6080000</v>
      </c>
      <c r="T34" s="175">
        <f t="shared" si="5"/>
        <v>2432000</v>
      </c>
      <c r="U34" s="173">
        <f>+pronostico!P33*8%</f>
        <v>1600</v>
      </c>
      <c r="V34" s="176">
        <f t="shared" si="6"/>
        <v>6080000</v>
      </c>
      <c r="W34" s="177">
        <f t="shared" si="7"/>
        <v>2432000</v>
      </c>
      <c r="X34" s="173">
        <f>+pronostico!P33*2%</f>
        <v>400</v>
      </c>
      <c r="Y34" s="178">
        <f t="shared" si="8"/>
        <v>1520000</v>
      </c>
      <c r="Z34" s="178">
        <f t="shared" si="9"/>
        <v>608000</v>
      </c>
      <c r="AA34" s="173">
        <f>+pronostico!P33*2%</f>
        <v>400</v>
      </c>
      <c r="AB34" s="179">
        <f t="shared" si="10"/>
        <v>1520000</v>
      </c>
      <c r="AC34" s="180">
        <f t="shared" si="11"/>
        <v>608000</v>
      </c>
      <c r="AD34" s="173">
        <f>+pronostico!P33*10%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+pronostico!P34*50%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+pronostico!P34*20%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+pronostico!P34*8%</f>
        <v>1600</v>
      </c>
      <c r="S35" s="174">
        <f t="shared" si="4"/>
        <v>6400000</v>
      </c>
      <c r="T35" s="175">
        <f t="shared" si="5"/>
        <v>2560000</v>
      </c>
      <c r="U35" s="173">
        <f>+pronostico!P34*8%</f>
        <v>1600</v>
      </c>
      <c r="V35" s="176">
        <f t="shared" si="6"/>
        <v>6400000</v>
      </c>
      <c r="W35" s="177">
        <f t="shared" si="7"/>
        <v>2560000</v>
      </c>
      <c r="X35" s="173">
        <f>+pronostico!P34*2%</f>
        <v>400</v>
      </c>
      <c r="Y35" s="178">
        <f t="shared" si="8"/>
        <v>1600000</v>
      </c>
      <c r="Z35" s="178">
        <f t="shared" si="9"/>
        <v>640000</v>
      </c>
      <c r="AA35" s="173">
        <f>+pronostico!P34*2%</f>
        <v>400</v>
      </c>
      <c r="AB35" s="179">
        <f t="shared" si="10"/>
        <v>1600000</v>
      </c>
      <c r="AC35" s="180">
        <f t="shared" si="11"/>
        <v>640000</v>
      </c>
      <c r="AD35" s="173">
        <f>+pronostico!P34*10%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+pronostico!P35*50%</f>
        <v>159816</v>
      </c>
      <c r="G36" s="137">
        <f t="shared" si="13"/>
        <v>305248560</v>
      </c>
      <c r="H36" s="138">
        <f t="shared" si="13"/>
        <v>152624280</v>
      </c>
      <c r="I36" s="137">
        <f t="shared" si="21"/>
        <v>95889.599999999991</v>
      </c>
      <c r="J36" s="139">
        <f t="shared" si="15"/>
        <v>47944.799999999996</v>
      </c>
      <c r="K36" s="167">
        <f t="shared" si="0"/>
        <v>15981.6</v>
      </c>
      <c r="L36" s="168" t="s">
        <v>21</v>
      </c>
      <c r="M36" s="169">
        <f>+pronostico!P35*20%</f>
        <v>63926.400000000001</v>
      </c>
      <c r="N36" s="170">
        <f t="shared" si="2"/>
        <v>122099424</v>
      </c>
      <c r="O36" s="171">
        <f t="shared" si="3"/>
        <v>61049712</v>
      </c>
      <c r="P36" s="170">
        <f t="shared" si="16"/>
        <v>31963.200000000001</v>
      </c>
      <c r="Q36" s="172">
        <f t="shared" si="17"/>
        <v>31963.200000000001</v>
      </c>
      <c r="R36" s="173">
        <f>+pronostico!P35*8%</f>
        <v>25570.560000000001</v>
      </c>
      <c r="S36" s="174">
        <f t="shared" si="4"/>
        <v>48839769.600000001</v>
      </c>
      <c r="T36" s="175">
        <f t="shared" si="5"/>
        <v>24419884.800000001</v>
      </c>
      <c r="U36" s="173">
        <f>+pronostico!P35*8%</f>
        <v>25570.560000000001</v>
      </c>
      <c r="V36" s="176">
        <v>0</v>
      </c>
      <c r="W36" s="177">
        <f t="shared" ref="W36:W51" si="22">V36*E36</f>
        <v>0</v>
      </c>
      <c r="X36" s="173">
        <f>+pronostico!P35*2%</f>
        <v>6392.64</v>
      </c>
      <c r="Y36" s="178">
        <f t="shared" si="8"/>
        <v>12209942.4</v>
      </c>
      <c r="Z36" s="178">
        <f t="shared" si="9"/>
        <v>6104971.2000000002</v>
      </c>
      <c r="AA36" s="173">
        <f>+pronostico!P35*2%</f>
        <v>6392.64</v>
      </c>
      <c r="AB36" s="179">
        <f t="shared" si="10"/>
        <v>12209942.4</v>
      </c>
      <c r="AC36" s="180">
        <f t="shared" si="11"/>
        <v>6104971.2000000002</v>
      </c>
      <c r="AD36" s="173">
        <f>+pronostico!P35*10%</f>
        <v>31963.200000000001</v>
      </c>
      <c r="AE36" s="176">
        <f t="shared" si="20"/>
        <v>61049712</v>
      </c>
      <c r="AF36" s="177">
        <f t="shared" si="20"/>
        <v>30524856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+pronostico!P36*50%</f>
        <v>149105</v>
      </c>
      <c r="G37" s="137">
        <f t="shared" si="13"/>
        <v>323557850</v>
      </c>
      <c r="H37" s="138">
        <f t="shared" si="13"/>
        <v>161778925</v>
      </c>
      <c r="I37" s="137">
        <f t="shared" si="21"/>
        <v>89463</v>
      </c>
      <c r="J37" s="139">
        <f t="shared" si="15"/>
        <v>44731.5</v>
      </c>
      <c r="K37" s="167">
        <f t="shared" si="0"/>
        <v>14910.5</v>
      </c>
      <c r="L37" s="168" t="s">
        <v>21</v>
      </c>
      <c r="M37" s="169">
        <f>+pronostico!P36*20%</f>
        <v>59642</v>
      </c>
      <c r="N37" s="170">
        <f t="shared" si="2"/>
        <v>129423140</v>
      </c>
      <c r="O37" s="171">
        <f t="shared" si="3"/>
        <v>64711570</v>
      </c>
      <c r="P37" s="170">
        <f t="shared" si="16"/>
        <v>29821</v>
      </c>
      <c r="Q37" s="172">
        <f t="shared" si="17"/>
        <v>29821</v>
      </c>
      <c r="R37" s="173">
        <f>+pronostico!P36*8%</f>
        <v>23856.799999999999</v>
      </c>
      <c r="S37" s="174">
        <f t="shared" si="4"/>
        <v>51769256</v>
      </c>
      <c r="T37" s="175">
        <f t="shared" si="5"/>
        <v>25884628</v>
      </c>
      <c r="U37" s="173">
        <f>+pronostico!P36*8%</f>
        <v>23856.799999999999</v>
      </c>
      <c r="V37" s="176">
        <v>0</v>
      </c>
      <c r="W37" s="177">
        <f t="shared" si="22"/>
        <v>0</v>
      </c>
      <c r="X37" s="173">
        <f>+pronostico!P36*2%</f>
        <v>5964.2</v>
      </c>
      <c r="Y37" s="178">
        <f t="shared" si="8"/>
        <v>12942314</v>
      </c>
      <c r="Z37" s="178">
        <f t="shared" si="9"/>
        <v>6471157</v>
      </c>
      <c r="AA37" s="173">
        <f>+pronostico!P36*2%</f>
        <v>5964.2</v>
      </c>
      <c r="AB37" s="179">
        <f t="shared" si="10"/>
        <v>12942314</v>
      </c>
      <c r="AC37" s="180">
        <f t="shared" si="11"/>
        <v>6471157</v>
      </c>
      <c r="AD37" s="173">
        <f>+pronostico!P36*10%</f>
        <v>29821</v>
      </c>
      <c r="AE37" s="176">
        <f t="shared" ref="AE37:AF51" si="23">+AD37*D37</f>
        <v>64711570</v>
      </c>
      <c r="AF37" s="177">
        <f t="shared" si="23"/>
        <v>32355785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+pronostico!P37*50%</f>
        <v>119326.5</v>
      </c>
      <c r="G38" s="137">
        <f t="shared" si="13"/>
        <v>199275255</v>
      </c>
      <c r="H38" s="138">
        <f t="shared" si="13"/>
        <v>99637627.5</v>
      </c>
      <c r="I38" s="137">
        <f t="shared" si="21"/>
        <v>71595.899999999994</v>
      </c>
      <c r="J38" s="139">
        <f t="shared" si="15"/>
        <v>35797.949999999997</v>
      </c>
      <c r="K38" s="167">
        <f t="shared" si="0"/>
        <v>11932.650000000001</v>
      </c>
      <c r="L38" s="168" t="s">
        <v>21</v>
      </c>
      <c r="M38" s="169">
        <f>+pronostico!P37*20%</f>
        <v>47730.600000000006</v>
      </c>
      <c r="N38" s="170">
        <f t="shared" si="2"/>
        <v>79710102.000000015</v>
      </c>
      <c r="O38" s="171">
        <f t="shared" si="3"/>
        <v>39855051.000000007</v>
      </c>
      <c r="P38" s="170">
        <f t="shared" si="16"/>
        <v>23865.300000000003</v>
      </c>
      <c r="Q38" s="172">
        <f t="shared" si="17"/>
        <v>23865.300000000003</v>
      </c>
      <c r="R38" s="173">
        <f>+pronostico!P37*8%</f>
        <v>19092.240000000002</v>
      </c>
      <c r="S38" s="174">
        <f t="shared" si="4"/>
        <v>31884040.800000004</v>
      </c>
      <c r="T38" s="175">
        <f t="shared" si="5"/>
        <v>15942020.400000002</v>
      </c>
      <c r="U38" s="173">
        <f>+pronostico!P37*8%</f>
        <v>19092.240000000002</v>
      </c>
      <c r="V38" s="176">
        <v>0</v>
      </c>
      <c r="W38" s="177">
        <f t="shared" si="22"/>
        <v>0</v>
      </c>
      <c r="X38" s="173">
        <f>+pronostico!P37*2%</f>
        <v>4773.0600000000004</v>
      </c>
      <c r="Y38" s="178">
        <f t="shared" si="8"/>
        <v>7971010.2000000011</v>
      </c>
      <c r="Z38" s="178">
        <f t="shared" si="9"/>
        <v>3985505.1000000006</v>
      </c>
      <c r="AA38" s="173">
        <f>+pronostico!P37*2%</f>
        <v>4773.0600000000004</v>
      </c>
      <c r="AB38" s="179">
        <f t="shared" si="10"/>
        <v>7971010.2000000011</v>
      </c>
      <c r="AC38" s="180">
        <f t="shared" si="11"/>
        <v>3985505.1000000006</v>
      </c>
      <c r="AD38" s="173">
        <f>+pronostico!P37*10%</f>
        <v>23865.300000000003</v>
      </c>
      <c r="AE38" s="176">
        <f t="shared" si="23"/>
        <v>39855051.000000007</v>
      </c>
      <c r="AF38" s="177">
        <f t="shared" si="23"/>
        <v>19927525.500000004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+pronostico!P38*50%</f>
        <v>58939</v>
      </c>
      <c r="G39" s="137">
        <f t="shared" si="13"/>
        <v>60117780</v>
      </c>
      <c r="H39" s="138">
        <f t="shared" si="13"/>
        <v>30058890</v>
      </c>
      <c r="I39" s="137">
        <f t="shared" si="21"/>
        <v>35363.4</v>
      </c>
      <c r="J39" s="139">
        <f t="shared" si="15"/>
        <v>17681.7</v>
      </c>
      <c r="K39" s="167">
        <f t="shared" si="0"/>
        <v>5893.9000000000005</v>
      </c>
      <c r="L39" s="168" t="s">
        <v>21</v>
      </c>
      <c r="M39" s="169">
        <f>+pronostico!P38*20%</f>
        <v>23575.600000000002</v>
      </c>
      <c r="N39" s="170">
        <f t="shared" si="2"/>
        <v>24047112.000000004</v>
      </c>
      <c r="O39" s="171">
        <f t="shared" si="3"/>
        <v>12023556.000000002</v>
      </c>
      <c r="P39" s="170">
        <f t="shared" si="16"/>
        <v>11787.800000000001</v>
      </c>
      <c r="Q39" s="172">
        <f t="shared" si="17"/>
        <v>11787.800000000001</v>
      </c>
      <c r="R39" s="173">
        <f>+pronostico!P38*8%</f>
        <v>9430.24</v>
      </c>
      <c r="S39" s="174">
        <f t="shared" si="4"/>
        <v>9618844.7999999989</v>
      </c>
      <c r="T39" s="175">
        <f t="shared" si="5"/>
        <v>4809422.3999999994</v>
      </c>
      <c r="U39" s="173">
        <f>+pronostico!P38*8%</f>
        <v>9430.24</v>
      </c>
      <c r="V39" s="176">
        <v>0</v>
      </c>
      <c r="W39" s="177">
        <f t="shared" si="22"/>
        <v>0</v>
      </c>
      <c r="X39" s="173">
        <f>+pronostico!P38*2%</f>
        <v>2357.56</v>
      </c>
      <c r="Y39" s="178">
        <f t="shared" si="8"/>
        <v>2404711.1999999997</v>
      </c>
      <c r="Z39" s="178">
        <f t="shared" si="9"/>
        <v>1202355.5999999999</v>
      </c>
      <c r="AA39" s="173">
        <f>+pronostico!P38*2%</f>
        <v>2357.56</v>
      </c>
      <c r="AB39" s="179">
        <f t="shared" si="10"/>
        <v>2404711.1999999997</v>
      </c>
      <c r="AC39" s="180">
        <f t="shared" si="11"/>
        <v>1202355.5999999999</v>
      </c>
      <c r="AD39" s="173">
        <f>+pronostico!P38*10%</f>
        <v>11787.800000000001</v>
      </c>
      <c r="AE39" s="176">
        <f t="shared" si="23"/>
        <v>12023556.000000002</v>
      </c>
      <c r="AF39" s="177">
        <f t="shared" si="23"/>
        <v>6011778.0000000009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+pronostico!P39*50%</f>
        <v>65198.5</v>
      </c>
      <c r="G40" s="137">
        <f t="shared" si="13"/>
        <v>93233855</v>
      </c>
      <c r="H40" s="138">
        <f t="shared" si="13"/>
        <v>46616927.5</v>
      </c>
      <c r="I40" s="137">
        <f t="shared" si="21"/>
        <v>39119.1</v>
      </c>
      <c r="J40" s="139">
        <f t="shared" si="15"/>
        <v>19559.55</v>
      </c>
      <c r="K40" s="167">
        <f t="shared" si="0"/>
        <v>6519.85</v>
      </c>
      <c r="L40" s="168" t="s">
        <v>21</v>
      </c>
      <c r="M40" s="169">
        <f>+pronostico!P39*20%</f>
        <v>26079.4</v>
      </c>
      <c r="N40" s="170">
        <f t="shared" si="2"/>
        <v>37293542</v>
      </c>
      <c r="O40" s="171">
        <f t="shared" si="3"/>
        <v>18646771</v>
      </c>
      <c r="P40" s="170">
        <f t="shared" si="16"/>
        <v>13039.7</v>
      </c>
      <c r="Q40" s="172">
        <f t="shared" si="17"/>
        <v>13039.7</v>
      </c>
      <c r="R40" s="173">
        <f>+pronostico!P39*8%</f>
        <v>10431.76</v>
      </c>
      <c r="S40" s="174">
        <f t="shared" si="4"/>
        <v>14917416.800000001</v>
      </c>
      <c r="T40" s="175">
        <f t="shared" si="5"/>
        <v>7458708.4000000004</v>
      </c>
      <c r="U40" s="173">
        <f>+pronostico!P39*8%</f>
        <v>10431.76</v>
      </c>
      <c r="V40" s="176">
        <v>0</v>
      </c>
      <c r="W40" s="177">
        <f t="shared" si="22"/>
        <v>0</v>
      </c>
      <c r="X40" s="173">
        <f>+pronostico!P39*2%</f>
        <v>2607.94</v>
      </c>
      <c r="Y40" s="178">
        <f t="shared" si="8"/>
        <v>3729354.2</v>
      </c>
      <c r="Z40" s="178">
        <f t="shared" si="9"/>
        <v>1864677.1</v>
      </c>
      <c r="AA40" s="173">
        <f>+pronostico!P39*2%</f>
        <v>2607.94</v>
      </c>
      <c r="AB40" s="179">
        <f t="shared" si="10"/>
        <v>3729354.2</v>
      </c>
      <c r="AC40" s="180">
        <f t="shared" si="11"/>
        <v>1864677.1</v>
      </c>
      <c r="AD40" s="173">
        <f>+pronostico!P39*10%</f>
        <v>13039.7</v>
      </c>
      <c r="AE40" s="176">
        <f t="shared" si="23"/>
        <v>18646771</v>
      </c>
      <c r="AF40" s="177">
        <f t="shared" si="23"/>
        <v>9323385.5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+pronostico!P40*50%</f>
        <v>54298.5</v>
      </c>
      <c r="G41" s="137">
        <f t="shared" si="13"/>
        <v>719998110</v>
      </c>
      <c r="H41" s="138">
        <f t="shared" si="13"/>
        <v>287999244</v>
      </c>
      <c r="I41" s="137">
        <f t="shared" si="21"/>
        <v>32579.1</v>
      </c>
      <c r="J41" s="139">
        <f t="shared" si="15"/>
        <v>16289.55</v>
      </c>
      <c r="K41" s="167">
        <f t="shared" si="0"/>
        <v>5429.85</v>
      </c>
      <c r="L41" s="168" t="s">
        <v>21</v>
      </c>
      <c r="M41" s="169">
        <f>+pronostico!P40*20%</f>
        <v>21719.4</v>
      </c>
      <c r="N41" s="170">
        <f t="shared" si="2"/>
        <v>287999244</v>
      </c>
      <c r="O41" s="171">
        <f t="shared" si="3"/>
        <v>115199697.60000001</v>
      </c>
      <c r="P41" s="170">
        <f t="shared" si="16"/>
        <v>10859.7</v>
      </c>
      <c r="Q41" s="172">
        <f t="shared" si="17"/>
        <v>10859.7</v>
      </c>
      <c r="R41" s="173">
        <f>+pronostico!P40*8%</f>
        <v>8687.76</v>
      </c>
      <c r="S41" s="174">
        <f t="shared" si="4"/>
        <v>115199697.60000001</v>
      </c>
      <c r="T41" s="175">
        <f t="shared" si="5"/>
        <v>46079879.040000007</v>
      </c>
      <c r="U41" s="173">
        <f>+pronostico!P40*8%</f>
        <v>8687.76</v>
      </c>
      <c r="V41" s="176">
        <v>0</v>
      </c>
      <c r="W41" s="177">
        <f t="shared" si="22"/>
        <v>0</v>
      </c>
      <c r="X41" s="173">
        <f>+pronostico!P40*2%</f>
        <v>2171.94</v>
      </c>
      <c r="Y41" s="178">
        <f t="shared" si="8"/>
        <v>28799924.400000002</v>
      </c>
      <c r="Z41" s="178">
        <f t="shared" si="9"/>
        <v>11519969.760000002</v>
      </c>
      <c r="AA41" s="173">
        <f>+pronostico!P40*2%</f>
        <v>2171.94</v>
      </c>
      <c r="AB41" s="179">
        <f t="shared" si="10"/>
        <v>28799924.400000002</v>
      </c>
      <c r="AC41" s="180">
        <f t="shared" si="11"/>
        <v>11519969.760000002</v>
      </c>
      <c r="AD41" s="173">
        <f>+pronostico!P40*10%</f>
        <v>10859.7</v>
      </c>
      <c r="AE41" s="176">
        <f t="shared" si="23"/>
        <v>143999622</v>
      </c>
      <c r="AF41" s="177">
        <f t="shared" si="23"/>
        <v>57599848.800000004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+pronostico!P41*50%</f>
        <v>30162.5</v>
      </c>
      <c r="G42" s="137">
        <f t="shared" si="13"/>
        <v>85661500</v>
      </c>
      <c r="H42" s="138">
        <f t="shared" si="13"/>
        <v>42830750</v>
      </c>
      <c r="I42" s="137">
        <f t="shared" si="21"/>
        <v>18097.5</v>
      </c>
      <c r="J42" s="139">
        <f t="shared" si="15"/>
        <v>9048.75</v>
      </c>
      <c r="K42" s="167">
        <f t="shared" si="0"/>
        <v>3016.25</v>
      </c>
      <c r="L42" s="168" t="s">
        <v>21</v>
      </c>
      <c r="M42" s="169">
        <f>+pronostico!P41*20%</f>
        <v>12065</v>
      </c>
      <c r="N42" s="170">
        <f t="shared" si="2"/>
        <v>34264600</v>
      </c>
      <c r="O42" s="171">
        <f t="shared" si="3"/>
        <v>17132300</v>
      </c>
      <c r="P42" s="170">
        <f t="shared" si="16"/>
        <v>6032.5</v>
      </c>
      <c r="Q42" s="172">
        <f t="shared" si="17"/>
        <v>6032.5</v>
      </c>
      <c r="R42" s="173">
        <f>+pronostico!P41*8%</f>
        <v>4826</v>
      </c>
      <c r="S42" s="174">
        <f t="shared" si="4"/>
        <v>13705840</v>
      </c>
      <c r="T42" s="175">
        <f t="shared" si="5"/>
        <v>6852920</v>
      </c>
      <c r="U42" s="173">
        <f>+pronostico!P41*8%</f>
        <v>4826</v>
      </c>
      <c r="V42" s="176">
        <v>0</v>
      </c>
      <c r="W42" s="177">
        <f t="shared" si="22"/>
        <v>0</v>
      </c>
      <c r="X42" s="173">
        <f>+pronostico!P41*2%</f>
        <v>1206.5</v>
      </c>
      <c r="Y42" s="178">
        <f t="shared" si="8"/>
        <v>3426460</v>
      </c>
      <c r="Z42" s="178">
        <f t="shared" si="9"/>
        <v>1713230</v>
      </c>
      <c r="AA42" s="173">
        <f>+pronostico!P41*2%</f>
        <v>1206.5</v>
      </c>
      <c r="AB42" s="179">
        <f t="shared" si="10"/>
        <v>3426460</v>
      </c>
      <c r="AC42" s="180">
        <f t="shared" si="11"/>
        <v>1713230</v>
      </c>
      <c r="AD42" s="173">
        <f>+pronostico!P41*10%</f>
        <v>6032.5</v>
      </c>
      <c r="AE42" s="176">
        <f t="shared" si="23"/>
        <v>17132300</v>
      </c>
      <c r="AF42" s="177">
        <f t="shared" si="23"/>
        <v>8566150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+pronostico!P42*50%</f>
        <v>27209</v>
      </c>
      <c r="G43" s="137">
        <f t="shared" si="13"/>
        <v>103394200</v>
      </c>
      <c r="H43" s="138">
        <f t="shared" si="13"/>
        <v>41357680</v>
      </c>
      <c r="I43" s="137">
        <f t="shared" si="21"/>
        <v>16325.4</v>
      </c>
      <c r="J43" s="139">
        <f t="shared" si="15"/>
        <v>8162.7</v>
      </c>
      <c r="K43" s="167">
        <f t="shared" si="0"/>
        <v>2720.9</v>
      </c>
      <c r="L43" s="168" t="s">
        <v>21</v>
      </c>
      <c r="M43" s="169">
        <f>+pronostico!P42*20%</f>
        <v>10883.6</v>
      </c>
      <c r="N43" s="170">
        <f t="shared" si="2"/>
        <v>41357680</v>
      </c>
      <c r="O43" s="171">
        <f t="shared" si="3"/>
        <v>16543072</v>
      </c>
      <c r="P43" s="170">
        <f t="shared" si="16"/>
        <v>5441.8</v>
      </c>
      <c r="Q43" s="172">
        <f t="shared" si="17"/>
        <v>5441.8</v>
      </c>
      <c r="R43" s="173">
        <f>+pronostico!P42*8%</f>
        <v>4353.4400000000005</v>
      </c>
      <c r="S43" s="174">
        <f t="shared" si="4"/>
        <v>16543072.000000002</v>
      </c>
      <c r="T43" s="175">
        <f t="shared" si="5"/>
        <v>6617228.8000000007</v>
      </c>
      <c r="U43" s="173">
        <f>+pronostico!P42*8%</f>
        <v>4353.4400000000005</v>
      </c>
      <c r="V43" s="176">
        <v>0</v>
      </c>
      <c r="W43" s="177">
        <f t="shared" si="22"/>
        <v>0</v>
      </c>
      <c r="X43" s="173">
        <f>+pronostico!P42*2%</f>
        <v>1088.3600000000001</v>
      </c>
      <c r="Y43" s="178">
        <f t="shared" si="8"/>
        <v>4135768.0000000005</v>
      </c>
      <c r="Z43" s="178">
        <f t="shared" si="9"/>
        <v>1654307.2000000002</v>
      </c>
      <c r="AA43" s="173">
        <f>+pronostico!P42*2%</f>
        <v>1088.3600000000001</v>
      </c>
      <c r="AB43" s="179">
        <f t="shared" si="10"/>
        <v>4135768.0000000005</v>
      </c>
      <c r="AC43" s="180">
        <f t="shared" si="11"/>
        <v>1654307.2000000002</v>
      </c>
      <c r="AD43" s="173">
        <f>+pronostico!P42*10%</f>
        <v>5441.8</v>
      </c>
      <c r="AE43" s="176">
        <f t="shared" si="23"/>
        <v>20678840</v>
      </c>
      <c r="AF43" s="177">
        <f t="shared" si="23"/>
        <v>8271536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+pronostico!P43*50%</f>
        <v>29368.620868681493</v>
      </c>
      <c r="G44" s="137">
        <f t="shared" si="13"/>
        <v>101028055.78826433</v>
      </c>
      <c r="H44" s="138">
        <f t="shared" si="13"/>
        <v>50514027.894132167</v>
      </c>
      <c r="I44" s="137">
        <f t="shared" si="21"/>
        <v>17621.172521208897</v>
      </c>
      <c r="J44" s="139">
        <f t="shared" si="15"/>
        <v>8810.5862606044484</v>
      </c>
      <c r="K44" s="167">
        <f t="shared" si="0"/>
        <v>2936.8620868681496</v>
      </c>
      <c r="L44" s="168" t="s">
        <v>21</v>
      </c>
      <c r="M44" s="169">
        <f>+pronostico!P43*20%</f>
        <v>11747.448347472598</v>
      </c>
      <c r="N44" s="170">
        <f t="shared" si="2"/>
        <v>40411222.31530574</v>
      </c>
      <c r="O44" s="171">
        <f t="shared" si="3"/>
        <v>20205611.15765287</v>
      </c>
      <c r="P44" s="170">
        <f t="shared" si="16"/>
        <v>5873.7241737362992</v>
      </c>
      <c r="Q44" s="172">
        <f t="shared" si="17"/>
        <v>5873.7241737362992</v>
      </c>
      <c r="R44" s="173">
        <f>+pronostico!P43*8%</f>
        <v>4698.9793389890392</v>
      </c>
      <c r="S44" s="174">
        <f t="shared" si="4"/>
        <v>16164488.926122295</v>
      </c>
      <c r="T44" s="175">
        <f t="shared" si="5"/>
        <v>8082244.4630611474</v>
      </c>
      <c r="U44" s="173">
        <f>+pronostico!P43*8%</f>
        <v>4698.9793389890392</v>
      </c>
      <c r="V44" s="176">
        <f t="shared" ref="V44:V51" si="24">U44*D44</f>
        <v>16164488.926122295</v>
      </c>
      <c r="W44" s="177">
        <f t="shared" si="22"/>
        <v>8082244.4630611474</v>
      </c>
      <c r="X44" s="173">
        <f>+pronostico!P43*2%</f>
        <v>1174.7448347472598</v>
      </c>
      <c r="Y44" s="178">
        <f t="shared" si="8"/>
        <v>4041122.2315305737</v>
      </c>
      <c r="Z44" s="178">
        <f t="shared" si="9"/>
        <v>2020561.1157652868</v>
      </c>
      <c r="AA44" s="173">
        <f>+pronostico!P43*2%</f>
        <v>1174.7448347472598</v>
      </c>
      <c r="AB44" s="179">
        <f t="shared" si="10"/>
        <v>4041122.2315305737</v>
      </c>
      <c r="AC44" s="180">
        <f t="shared" si="11"/>
        <v>2020561.1157652868</v>
      </c>
      <c r="AD44" s="173">
        <f>+pronostico!P43*10%</f>
        <v>5873.7241737362992</v>
      </c>
      <c r="AE44" s="176">
        <f t="shared" si="23"/>
        <v>20205611.15765287</v>
      </c>
      <c r="AF44" s="177">
        <f t="shared" si="23"/>
        <v>10102805.578826435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+pronostico!P44*50%</f>
        <v>34502.467190199088</v>
      </c>
      <c r="G45" s="137">
        <f t="shared" si="13"/>
        <v>71075082.411810115</v>
      </c>
      <c r="H45" s="138">
        <f t="shared" si="13"/>
        <v>35537541.205905057</v>
      </c>
      <c r="I45" s="137">
        <f t="shared" si="21"/>
        <v>20701.480314119453</v>
      </c>
      <c r="J45" s="139">
        <f t="shared" si="15"/>
        <v>10350.740157059727</v>
      </c>
      <c r="K45" s="167">
        <f t="shared" si="0"/>
        <v>3450.2467190199091</v>
      </c>
      <c r="L45" s="168" t="s">
        <v>21</v>
      </c>
      <c r="M45" s="169">
        <f>+pronostico!P44*20%</f>
        <v>13800.986876079636</v>
      </c>
      <c r="N45" s="170">
        <f t="shared" si="2"/>
        <v>28430032.964724049</v>
      </c>
      <c r="O45" s="171">
        <f t="shared" si="3"/>
        <v>14215016.482362024</v>
      </c>
      <c r="P45" s="170">
        <f t="shared" si="16"/>
        <v>6900.4934380398181</v>
      </c>
      <c r="Q45" s="172">
        <f t="shared" si="17"/>
        <v>6900.4934380398181</v>
      </c>
      <c r="R45" s="173">
        <f>+pronostico!P44*8%</f>
        <v>5520.3947504318539</v>
      </c>
      <c r="S45" s="174">
        <f t="shared" si="4"/>
        <v>11372013.185889618</v>
      </c>
      <c r="T45" s="175">
        <f t="shared" si="5"/>
        <v>5686006.5929448092</v>
      </c>
      <c r="U45" s="173">
        <f>+pronostico!P44*8%</f>
        <v>5520.3947504318539</v>
      </c>
      <c r="V45" s="176">
        <f t="shared" si="24"/>
        <v>11372013.185889618</v>
      </c>
      <c r="W45" s="177">
        <f t="shared" si="22"/>
        <v>5686006.5929448092</v>
      </c>
      <c r="X45" s="173">
        <f>+pronostico!P44*2%</f>
        <v>1380.0986876079635</v>
      </c>
      <c r="Y45" s="178">
        <f t="shared" si="8"/>
        <v>2843003.2964724046</v>
      </c>
      <c r="Z45" s="178">
        <f t="shared" si="9"/>
        <v>1421501.6482362023</v>
      </c>
      <c r="AA45" s="173">
        <f>+pronostico!P44*2%</f>
        <v>1380.0986876079635</v>
      </c>
      <c r="AB45" s="179">
        <f t="shared" si="10"/>
        <v>2843003.2964724046</v>
      </c>
      <c r="AC45" s="180">
        <f t="shared" si="11"/>
        <v>1421501.6482362023</v>
      </c>
      <c r="AD45" s="173">
        <f>+pronostico!P44*10%</f>
        <v>6900.4934380398181</v>
      </c>
      <c r="AE45" s="176">
        <f t="shared" si="23"/>
        <v>14215016.482362024</v>
      </c>
      <c r="AF45" s="177">
        <f t="shared" si="23"/>
        <v>7107508.2411810122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+pronostico!P45*50%</f>
        <v>17741.968905244608</v>
      </c>
      <c r="G46" s="137">
        <f t="shared" si="13"/>
        <v>49854932.62373735</v>
      </c>
      <c r="H46" s="138">
        <f t="shared" si="13"/>
        <v>24927466.311868675</v>
      </c>
      <c r="I46" s="137">
        <f t="shared" si="21"/>
        <v>10645.181343146765</v>
      </c>
      <c r="J46" s="139">
        <f t="shared" si="15"/>
        <v>5322.5906715733827</v>
      </c>
      <c r="K46" s="167">
        <f t="shared" si="0"/>
        <v>1774.196890524461</v>
      </c>
      <c r="L46" s="168" t="s">
        <v>21</v>
      </c>
      <c r="M46" s="169">
        <f>+pronostico!P45*20%</f>
        <v>7096.7875620978439</v>
      </c>
      <c r="N46" s="170">
        <f t="shared" si="2"/>
        <v>19941973.049494941</v>
      </c>
      <c r="O46" s="171">
        <f t="shared" si="3"/>
        <v>9970986.5247474704</v>
      </c>
      <c r="P46" s="170">
        <f t="shared" si="16"/>
        <v>3548.3937810489219</v>
      </c>
      <c r="Q46" s="172">
        <f t="shared" si="17"/>
        <v>3548.3937810489219</v>
      </c>
      <c r="R46" s="173">
        <f>+pronostico!P45*8%</f>
        <v>2838.7150248391372</v>
      </c>
      <c r="S46" s="174">
        <f t="shared" si="4"/>
        <v>7976789.2197979754</v>
      </c>
      <c r="T46" s="175">
        <f t="shared" si="5"/>
        <v>3988394.6098989877</v>
      </c>
      <c r="U46" s="173">
        <f>+pronostico!P45*8%</f>
        <v>2838.7150248391372</v>
      </c>
      <c r="V46" s="176">
        <f t="shared" si="24"/>
        <v>7976789.2197979754</v>
      </c>
      <c r="W46" s="177">
        <f t="shared" si="22"/>
        <v>3988394.6098989877</v>
      </c>
      <c r="X46" s="173">
        <f>+pronostico!P45*2%</f>
        <v>709.6787562097843</v>
      </c>
      <c r="Y46" s="178">
        <f t="shared" si="8"/>
        <v>1994197.3049494938</v>
      </c>
      <c r="Z46" s="178">
        <f t="shared" si="9"/>
        <v>997098.65247474692</v>
      </c>
      <c r="AA46" s="173">
        <f>+pronostico!P45*2%</f>
        <v>709.6787562097843</v>
      </c>
      <c r="AB46" s="179">
        <f t="shared" si="10"/>
        <v>1994197.3049494938</v>
      </c>
      <c r="AC46" s="180">
        <f t="shared" si="11"/>
        <v>997098.65247474692</v>
      </c>
      <c r="AD46" s="173">
        <f>+pronostico!P45*10%</f>
        <v>3548.3937810489219</v>
      </c>
      <c r="AE46" s="176">
        <f t="shared" si="23"/>
        <v>9970986.5247474704</v>
      </c>
      <c r="AF46" s="177">
        <f t="shared" si="23"/>
        <v>4985493.2623737352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+pronostico!P46*50%</f>
        <v>14495.566084284967</v>
      </c>
      <c r="G47" s="137">
        <f t="shared" si="13"/>
        <v>60011643.588939764</v>
      </c>
      <c r="H47" s="138">
        <f t="shared" si="13"/>
        <v>24004657.435575906</v>
      </c>
      <c r="I47" s="137">
        <f t="shared" si="21"/>
        <v>8697.3396505709788</v>
      </c>
      <c r="J47" s="139">
        <f t="shared" si="15"/>
        <v>4348.6698252854894</v>
      </c>
      <c r="K47" s="167">
        <f t="shared" si="0"/>
        <v>1449.5566084284967</v>
      </c>
      <c r="L47" s="168" t="s">
        <v>21</v>
      </c>
      <c r="M47" s="169">
        <f>+pronostico!P46*20%</f>
        <v>5798.2264337139868</v>
      </c>
      <c r="N47" s="170">
        <f t="shared" si="2"/>
        <v>24004657.435575906</v>
      </c>
      <c r="O47" s="171">
        <f t="shared" si="3"/>
        <v>9601862.9742303621</v>
      </c>
      <c r="P47" s="170">
        <f t="shared" si="16"/>
        <v>2899.1132168569934</v>
      </c>
      <c r="Q47" s="172">
        <f t="shared" si="17"/>
        <v>2899.1132168569934</v>
      </c>
      <c r="R47" s="173">
        <f>+pronostico!P46*8%</f>
        <v>2319.2905734855949</v>
      </c>
      <c r="S47" s="174">
        <f t="shared" si="4"/>
        <v>9601862.9742303621</v>
      </c>
      <c r="T47" s="175">
        <f t="shared" si="5"/>
        <v>3840745.1896921452</v>
      </c>
      <c r="U47" s="173">
        <f>+pronostico!P46*8%</f>
        <v>2319.2905734855949</v>
      </c>
      <c r="V47" s="176">
        <f t="shared" si="24"/>
        <v>9601862.9742303621</v>
      </c>
      <c r="W47" s="177">
        <f t="shared" si="22"/>
        <v>3840745.1896921452</v>
      </c>
      <c r="X47" s="173">
        <f>+pronostico!P46*2%</f>
        <v>579.82264337139873</v>
      </c>
      <c r="Y47" s="178">
        <f t="shared" si="8"/>
        <v>2400465.7435575905</v>
      </c>
      <c r="Z47" s="178">
        <f t="shared" si="9"/>
        <v>960186.2974230363</v>
      </c>
      <c r="AA47" s="173">
        <f>+pronostico!P46*2%</f>
        <v>579.82264337139873</v>
      </c>
      <c r="AB47" s="179">
        <f t="shared" si="10"/>
        <v>2400465.7435575905</v>
      </c>
      <c r="AC47" s="180">
        <f t="shared" si="11"/>
        <v>960186.2974230363</v>
      </c>
      <c r="AD47" s="173">
        <f>+pronostico!P46*10%</f>
        <v>2899.1132168569934</v>
      </c>
      <c r="AE47" s="176">
        <f t="shared" si="23"/>
        <v>12002328.717787953</v>
      </c>
      <c r="AF47" s="177">
        <f t="shared" si="23"/>
        <v>4800931.4871151811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+pronostico!P47*50%</f>
        <v>15988.420562528176</v>
      </c>
      <c r="G48" s="137">
        <f t="shared" si="13"/>
        <v>34375104.209435575</v>
      </c>
      <c r="H48" s="138">
        <f t="shared" si="13"/>
        <v>17187552.104717787</v>
      </c>
      <c r="I48" s="137">
        <f t="shared" si="21"/>
        <v>9593.052337516905</v>
      </c>
      <c r="J48" s="139">
        <f t="shared" si="15"/>
        <v>4796.5261687584525</v>
      </c>
      <c r="K48" s="167">
        <f t="shared" si="0"/>
        <v>1598.8420562528177</v>
      </c>
      <c r="L48" s="168" t="s">
        <v>21</v>
      </c>
      <c r="M48" s="169">
        <f>+pronostico!P47*20%</f>
        <v>6395.3682250112706</v>
      </c>
      <c r="N48" s="170">
        <f t="shared" si="2"/>
        <v>13750041.683774231</v>
      </c>
      <c r="O48" s="171">
        <f t="shared" si="3"/>
        <v>6875020.8418871155</v>
      </c>
      <c r="P48" s="170">
        <f t="shared" si="16"/>
        <v>3197.6841125056353</v>
      </c>
      <c r="Q48" s="172">
        <f t="shared" si="17"/>
        <v>3197.6841125056353</v>
      </c>
      <c r="R48" s="173">
        <f>+pronostico!P47*8%</f>
        <v>2558.1472900045082</v>
      </c>
      <c r="S48" s="174">
        <f t="shared" si="4"/>
        <v>5500016.6735096928</v>
      </c>
      <c r="T48" s="175">
        <f t="shared" si="5"/>
        <v>2750008.3367548464</v>
      </c>
      <c r="U48" s="173">
        <f>+pronostico!P47*8%</f>
        <v>2558.1472900045082</v>
      </c>
      <c r="V48" s="176">
        <f t="shared" si="24"/>
        <v>5500016.6735096928</v>
      </c>
      <c r="W48" s="177">
        <f t="shared" si="22"/>
        <v>2750008.3367548464</v>
      </c>
      <c r="X48" s="173">
        <f>+pronostico!P47*2%</f>
        <v>639.53682250112706</v>
      </c>
      <c r="Y48" s="178">
        <f t="shared" si="8"/>
        <v>1375004.1683774232</v>
      </c>
      <c r="Z48" s="178">
        <f t="shared" si="9"/>
        <v>687502.0841887116</v>
      </c>
      <c r="AA48" s="173">
        <f>+pronostico!P47*2%</f>
        <v>639.53682250112706</v>
      </c>
      <c r="AB48" s="179">
        <f t="shared" si="10"/>
        <v>1375004.1683774232</v>
      </c>
      <c r="AC48" s="180">
        <f t="shared" si="11"/>
        <v>687502.0841887116</v>
      </c>
      <c r="AD48" s="173">
        <f>+pronostico!P47*10%</f>
        <v>3197.6841125056353</v>
      </c>
      <c r="AE48" s="176">
        <f t="shared" si="23"/>
        <v>6875020.8418871155</v>
      </c>
      <c r="AF48" s="177">
        <f t="shared" si="23"/>
        <v>3437510.4209435578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+pronostico!P48*50%</f>
        <v>12610.585232416634</v>
      </c>
      <c r="G49" s="137">
        <f t="shared" si="13"/>
        <v>27112758.249695763</v>
      </c>
      <c r="H49" s="138">
        <f t="shared" si="13"/>
        <v>13556379.124847881</v>
      </c>
      <c r="I49" s="137">
        <f t="shared" si="21"/>
        <v>7566.3511394499801</v>
      </c>
      <c r="J49" s="139">
        <f t="shared" si="15"/>
        <v>3783.1755697249901</v>
      </c>
      <c r="K49" s="167">
        <f t="shared" si="0"/>
        <v>1261.0585232416634</v>
      </c>
      <c r="L49" s="168" t="s">
        <v>21</v>
      </c>
      <c r="M49" s="169">
        <f>+pronostico!P48*20%</f>
        <v>5044.2340929666534</v>
      </c>
      <c r="N49" s="170">
        <f t="shared" si="2"/>
        <v>10845103.299878305</v>
      </c>
      <c r="O49" s="171">
        <f t="shared" si="3"/>
        <v>5422551.6499391524</v>
      </c>
      <c r="P49" s="170">
        <f t="shared" si="16"/>
        <v>2522.1170464833267</v>
      </c>
      <c r="Q49" s="172">
        <f t="shared" si="17"/>
        <v>2522.1170464833267</v>
      </c>
      <c r="R49" s="173">
        <f>+pronostico!P48*8%</f>
        <v>2017.6936371866614</v>
      </c>
      <c r="S49" s="174">
        <f t="shared" si="4"/>
        <v>4338041.3199513219</v>
      </c>
      <c r="T49" s="175">
        <f t="shared" si="5"/>
        <v>2169020.659975661</v>
      </c>
      <c r="U49" s="173">
        <f>+pronostico!P48*8%</f>
        <v>2017.6936371866614</v>
      </c>
      <c r="V49" s="176">
        <f t="shared" si="24"/>
        <v>4338041.3199513219</v>
      </c>
      <c r="W49" s="177">
        <f t="shared" si="22"/>
        <v>2169020.659975661</v>
      </c>
      <c r="X49" s="173">
        <f>+pronostico!P48*2%</f>
        <v>504.42340929666534</v>
      </c>
      <c r="Y49" s="178">
        <f t="shared" si="8"/>
        <v>1084510.3299878305</v>
      </c>
      <c r="Z49" s="178">
        <f t="shared" si="9"/>
        <v>542255.16499391524</v>
      </c>
      <c r="AA49" s="173">
        <f>+pronostico!P48*2%</f>
        <v>504.42340929666534</v>
      </c>
      <c r="AB49" s="179">
        <f t="shared" si="10"/>
        <v>1084510.3299878305</v>
      </c>
      <c r="AC49" s="180">
        <f t="shared" si="11"/>
        <v>542255.16499391524</v>
      </c>
      <c r="AD49" s="173">
        <f>+pronostico!P48*10%</f>
        <v>2522.1170464833267</v>
      </c>
      <c r="AE49" s="176">
        <f t="shared" si="23"/>
        <v>5422551.6499391524</v>
      </c>
      <c r="AF49" s="177">
        <f t="shared" si="23"/>
        <v>2711275.8249695762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+pronostico!P49*50%</f>
        <v>9286.2220227450671</v>
      </c>
      <c r="G50" s="137">
        <f t="shared" si="13"/>
        <v>37887785.85279987</v>
      </c>
      <c r="H50" s="138">
        <f t="shared" si="13"/>
        <v>15155114.341119949</v>
      </c>
      <c r="I50" s="137">
        <f t="shared" si="21"/>
        <v>5571.7332136470404</v>
      </c>
      <c r="J50" s="139">
        <f t="shared" si="15"/>
        <v>2785.8666068235202</v>
      </c>
      <c r="K50" s="167">
        <f t="shared" si="0"/>
        <v>928.62220227450678</v>
      </c>
      <c r="L50" s="168" t="s">
        <v>21</v>
      </c>
      <c r="M50" s="169">
        <f>+pronostico!P49*20%</f>
        <v>3714.4888090980271</v>
      </c>
      <c r="N50" s="170">
        <f t="shared" si="2"/>
        <v>15155114.341119951</v>
      </c>
      <c r="O50" s="171">
        <f t="shared" si="3"/>
        <v>6062045.7364479806</v>
      </c>
      <c r="P50" s="170">
        <f t="shared" si="16"/>
        <v>1857.2444045490136</v>
      </c>
      <c r="Q50" s="172">
        <f t="shared" si="17"/>
        <v>1857.2444045490136</v>
      </c>
      <c r="R50" s="173">
        <f>+pronostico!P49*8%</f>
        <v>1485.7955236392108</v>
      </c>
      <c r="S50" s="174">
        <f t="shared" si="4"/>
        <v>6062045.7364479806</v>
      </c>
      <c r="T50" s="175">
        <f t="shared" si="5"/>
        <v>2424818.2945791925</v>
      </c>
      <c r="U50" s="173">
        <f>+pronostico!P49*8%</f>
        <v>1485.7955236392108</v>
      </c>
      <c r="V50" s="176">
        <f t="shared" si="24"/>
        <v>6062045.7364479806</v>
      </c>
      <c r="W50" s="177">
        <f t="shared" si="22"/>
        <v>2424818.2945791925</v>
      </c>
      <c r="X50" s="173">
        <f>+pronostico!P49*2%</f>
        <v>371.44888090980271</v>
      </c>
      <c r="Y50" s="178">
        <f t="shared" si="8"/>
        <v>1515511.4341119952</v>
      </c>
      <c r="Z50" s="178">
        <f t="shared" si="9"/>
        <v>606204.57364479813</v>
      </c>
      <c r="AA50" s="173">
        <f>+pronostico!P49*2%</f>
        <v>371.44888090980271</v>
      </c>
      <c r="AB50" s="179">
        <f t="shared" si="10"/>
        <v>1515511.4341119952</v>
      </c>
      <c r="AC50" s="180">
        <f t="shared" si="11"/>
        <v>606204.57364479813</v>
      </c>
      <c r="AD50" s="173">
        <f>+pronostico!P49*10%</f>
        <v>1857.2444045490136</v>
      </c>
      <c r="AE50" s="176">
        <f t="shared" si="23"/>
        <v>7577557.1705599753</v>
      </c>
      <c r="AF50" s="177">
        <f t="shared" si="23"/>
        <v>3031022.8682239903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+pronostico!P50*50%</f>
        <v>10116.69716299054</v>
      </c>
      <c r="G51" s="150">
        <f t="shared" si="13"/>
        <v>56248836.226227403</v>
      </c>
      <c r="H51" s="138">
        <f t="shared" si="13"/>
        <v>22499534.490490962</v>
      </c>
      <c r="I51" s="150">
        <f t="shared" si="21"/>
        <v>6070.0182977943241</v>
      </c>
      <c r="J51" s="151">
        <f t="shared" si="15"/>
        <v>3035.009148897162</v>
      </c>
      <c r="K51" s="181">
        <f t="shared" si="0"/>
        <v>1011.669716299054</v>
      </c>
      <c r="L51" s="182" t="s">
        <v>21</v>
      </c>
      <c r="M51" s="169">
        <f>+pronostico!P50*20%</f>
        <v>4046.6788651962161</v>
      </c>
      <c r="N51" s="170">
        <f t="shared" si="2"/>
        <v>22499534.490490962</v>
      </c>
      <c r="O51" s="171">
        <f t="shared" si="3"/>
        <v>8999813.7961963844</v>
      </c>
      <c r="P51" s="183">
        <f t="shared" si="16"/>
        <v>2023.339432598108</v>
      </c>
      <c r="Q51" s="184">
        <f t="shared" si="17"/>
        <v>2023.339432598108</v>
      </c>
      <c r="R51" s="173">
        <f>+pronostico!P50*8%</f>
        <v>1618.6715460784865</v>
      </c>
      <c r="S51" s="174">
        <f t="shared" si="4"/>
        <v>8999813.7961963844</v>
      </c>
      <c r="T51" s="175">
        <f t="shared" si="5"/>
        <v>3599925.5184785537</v>
      </c>
      <c r="U51" s="173">
        <f>+pronostico!P50*8%</f>
        <v>1618.6715460784865</v>
      </c>
      <c r="V51" s="176">
        <f t="shared" si="24"/>
        <v>8999813.7961963844</v>
      </c>
      <c r="W51" s="177">
        <f t="shared" si="22"/>
        <v>3599925.5184785537</v>
      </c>
      <c r="X51" s="173">
        <f>+pronostico!P50*2%</f>
        <v>404.66788651962162</v>
      </c>
      <c r="Y51" s="178">
        <f t="shared" si="8"/>
        <v>2249953.4490490961</v>
      </c>
      <c r="Z51" s="178">
        <f t="shared" si="9"/>
        <v>899981.37961963844</v>
      </c>
      <c r="AA51" s="173">
        <f>+pronostico!P50*2%</f>
        <v>404.66788651962162</v>
      </c>
      <c r="AB51" s="179">
        <f t="shared" si="10"/>
        <v>2249953.4490490961</v>
      </c>
      <c r="AC51" s="180">
        <f t="shared" si="11"/>
        <v>899981.37961963844</v>
      </c>
      <c r="AD51" s="173">
        <f>+pronostico!P50*10%</f>
        <v>2023.339432598108</v>
      </c>
      <c r="AE51" s="176">
        <f t="shared" si="23"/>
        <v>11249767.245245481</v>
      </c>
      <c r="AF51" s="177">
        <f t="shared" si="23"/>
        <v>4499906.8980981922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5796590794.3207092</v>
      </c>
      <c r="H52" s="186">
        <f>SUM(H4:H51)</f>
        <v>2567854769.3411641</v>
      </c>
      <c r="I52" s="187"/>
      <c r="J52" s="188"/>
      <c r="K52" s="188"/>
      <c r="L52" s="189"/>
      <c r="M52" s="185"/>
      <c r="N52" s="277">
        <f>SUM(N4:N51)</f>
        <v>2318636317.7282829</v>
      </c>
      <c r="O52" s="190">
        <f>SUM(O4:O51)</f>
        <v>1027141907.7364658</v>
      </c>
      <c r="P52" s="187"/>
      <c r="Q52" s="189"/>
      <c r="R52" s="185"/>
      <c r="S52" s="274">
        <f>SUM(S4:S51)</f>
        <v>927454527.09131324</v>
      </c>
      <c r="T52" s="191">
        <f>SUM(T4:T51)</f>
        <v>410856763.09458625</v>
      </c>
      <c r="U52" s="185"/>
      <c r="V52" s="274">
        <f>SUM(V4:V51)</f>
        <v>624976589.49131334</v>
      </c>
      <c r="W52" s="191">
        <f>SUM(W4:W51)</f>
        <v>272792071.25458628</v>
      </c>
      <c r="X52" s="185"/>
      <c r="Y52" s="274">
        <f>SUM(Y4:Y51)</f>
        <v>231863631.77282831</v>
      </c>
      <c r="Z52" s="192">
        <f>SUM(Z4:Z51)</f>
        <v>102714190.77364656</v>
      </c>
      <c r="AA52" s="193"/>
      <c r="AB52" s="274">
        <f>SUM(AB4:AB51)</f>
        <v>231863631.77282831</v>
      </c>
      <c r="AC52" s="194">
        <f>SUM(AC4:AC51)</f>
        <v>102714190.77364656</v>
      </c>
      <c r="AD52" s="193"/>
      <c r="AE52" s="274">
        <f>SUM(AE4:AE51)</f>
        <v>1159318158.8641415</v>
      </c>
      <c r="AF52" s="194">
        <f>SUM(AF4:AF51)</f>
        <v>513570953.86823291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1738977238.2962127</v>
      </c>
      <c r="H53" s="272"/>
      <c r="I53" s="255"/>
      <c r="J53" s="254"/>
      <c r="K53" s="259"/>
      <c r="L53" s="256"/>
      <c r="M53" s="253"/>
      <c r="N53" s="278">
        <f>+N52*20%</f>
        <v>463727263.54565662</v>
      </c>
      <c r="O53" s="272"/>
      <c r="P53" s="260"/>
      <c r="Q53" s="261"/>
      <c r="R53" s="262"/>
      <c r="S53" s="275">
        <f>+S52*12%</f>
        <v>111294543.25095758</v>
      </c>
      <c r="T53" s="272"/>
      <c r="U53" s="283"/>
      <c r="V53" s="275">
        <f>+V52*12%</f>
        <v>74997190.738957599</v>
      </c>
      <c r="W53" s="272"/>
      <c r="X53" s="283"/>
      <c r="Y53" s="275"/>
      <c r="Z53" s="284"/>
      <c r="AA53" s="283"/>
      <c r="AB53" s="275">
        <f>+AB52*12%</f>
        <v>27823635.812739395</v>
      </c>
      <c r="AC53" s="272"/>
      <c r="AD53" s="283"/>
      <c r="AE53" s="275">
        <f>+AE52*12%</f>
        <v>139118179.06369698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4057613556.0244966</v>
      </c>
      <c r="H54" s="273"/>
      <c r="I54" s="268"/>
      <c r="J54" s="267"/>
      <c r="K54" s="267"/>
      <c r="L54" s="269"/>
      <c r="M54" s="266"/>
      <c r="N54" s="279">
        <f>+N52-N53</f>
        <v>1854909054.1826262</v>
      </c>
      <c r="O54" s="273"/>
      <c r="P54" s="268"/>
      <c r="Q54" s="269"/>
      <c r="R54" s="266"/>
      <c r="S54" s="276">
        <f>+S52-S53</f>
        <v>816159983.84035563</v>
      </c>
      <c r="T54" s="273"/>
      <c r="U54" s="285"/>
      <c r="V54" s="276">
        <f>+V52-V53</f>
        <v>549979398.75235569</v>
      </c>
      <c r="W54" s="273"/>
      <c r="X54" s="285"/>
      <c r="Y54" s="276">
        <f>+Y52-Y53</f>
        <v>231863631.77282831</v>
      </c>
      <c r="Z54" s="286"/>
      <c r="AA54" s="285"/>
      <c r="AB54" s="276">
        <f>+AB52-AB53</f>
        <v>204039995.96008891</v>
      </c>
      <c r="AC54" s="273"/>
      <c r="AD54" s="285"/>
      <c r="AE54" s="276">
        <f>+AE52-AE53</f>
        <v>1020199979.8004445</v>
      </c>
      <c r="AF54" s="273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786" t="s">
        <v>161</v>
      </c>
      <c r="G56" s="787"/>
      <c r="H56" s="788"/>
      <c r="M56" s="786" t="s">
        <v>160</v>
      </c>
      <c r="N56" s="787"/>
      <c r="O56" s="788"/>
      <c r="R56" s="786" t="s">
        <v>159</v>
      </c>
      <c r="S56" s="787"/>
      <c r="T56" s="788"/>
    </row>
    <row r="57" spans="1:32" x14ac:dyDescent="0.25">
      <c r="F57" s="3" t="s">
        <v>155</v>
      </c>
      <c r="G57" s="3"/>
      <c r="H57" s="271">
        <f>+G52</f>
        <v>5796590794.3207092</v>
      </c>
      <c r="M57" s="3" t="s">
        <v>155</v>
      </c>
      <c r="N57" s="3"/>
      <c r="O57" s="271">
        <f>+N52</f>
        <v>2318636317.7282829</v>
      </c>
      <c r="R57" s="3" t="s">
        <v>155</v>
      </c>
      <c r="S57" s="3"/>
      <c r="T57" s="271">
        <f>S52+V52+Y52+AB52+AE52</f>
        <v>3175476538.992425</v>
      </c>
    </row>
    <row r="58" spans="1:32" x14ac:dyDescent="0.25">
      <c r="F58" s="3" t="s">
        <v>156</v>
      </c>
      <c r="G58" s="3"/>
      <c r="H58" s="271">
        <f>+G52-H52</f>
        <v>3228736024.9795451</v>
      </c>
      <c r="M58" s="3" t="s">
        <v>156</v>
      </c>
      <c r="N58" s="3"/>
      <c r="O58" s="271">
        <f>+N52-O52</f>
        <v>1291494409.991817</v>
      </c>
      <c r="R58" s="3" t="s">
        <v>156</v>
      </c>
      <c r="S58" s="3"/>
      <c r="T58" s="271">
        <f>T57-T59</f>
        <v>1772828369.2277262</v>
      </c>
    </row>
    <row r="59" spans="1:32" x14ac:dyDescent="0.25">
      <c r="F59" s="3" t="s">
        <v>157</v>
      </c>
      <c r="G59" s="3"/>
      <c r="H59" s="271">
        <f>+H52</f>
        <v>2567854769.3411641</v>
      </c>
      <c r="M59" s="3" t="s">
        <v>157</v>
      </c>
      <c r="N59" s="3"/>
      <c r="O59" s="271">
        <f>+O52</f>
        <v>1027141907.7364658</v>
      </c>
      <c r="R59" s="3" t="s">
        <v>157</v>
      </c>
      <c r="S59" s="3"/>
      <c r="T59" s="271">
        <f>T52+W52+Z52+AC52+AF52</f>
        <v>1402648169.7646987</v>
      </c>
    </row>
    <row r="60" spans="1:32" x14ac:dyDescent="0.25">
      <c r="F60" s="3" t="s">
        <v>147</v>
      </c>
      <c r="G60" s="3"/>
      <c r="H60" s="271">
        <f>+G53</f>
        <v>1738977238.2962127</v>
      </c>
      <c r="M60" s="3" t="s">
        <v>147</v>
      </c>
      <c r="N60" s="3"/>
      <c r="O60" s="271">
        <f>+N53</f>
        <v>463727263.54565662</v>
      </c>
      <c r="R60" s="3" t="s">
        <v>147</v>
      </c>
      <c r="S60" s="3"/>
      <c r="T60" s="271">
        <f>S53+V53+AB53+AE53</f>
        <v>353233548.8663516</v>
      </c>
    </row>
    <row r="61" spans="1:32" x14ac:dyDescent="0.25">
      <c r="F61" s="3" t="s">
        <v>158</v>
      </c>
      <c r="G61" s="3"/>
      <c r="H61" s="271">
        <f>+H59-H60</f>
        <v>828877531.04495144</v>
      </c>
      <c r="M61" s="3" t="s">
        <v>158</v>
      </c>
      <c r="N61" s="3"/>
      <c r="O61" s="271">
        <f>+O59-O60</f>
        <v>563414644.19080925</v>
      </c>
      <c r="R61" s="3" t="s">
        <v>158</v>
      </c>
      <c r="S61" s="3"/>
      <c r="T61" s="271">
        <f>+T59-T60</f>
        <v>1049414620.8983471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D1" workbookViewId="0">
      <selection activeCell="K65" sqref="K65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4.140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4.1406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774" t="s">
        <v>154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AF1" s="776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+pronostico!Q3*50%</f>
        <v>92162.325698196582</v>
      </c>
      <c r="G4" s="137">
        <f>F4*D4</f>
        <v>452517019.17814523</v>
      </c>
      <c r="H4" s="138">
        <f>G4*E4</f>
        <v>181006807.67125809</v>
      </c>
      <c r="I4" s="137">
        <f>+F4*50%</f>
        <v>46081.162849098291</v>
      </c>
      <c r="J4" s="139">
        <f>+F4*30%</f>
        <v>27648.697709458975</v>
      </c>
      <c r="K4" s="167">
        <f t="shared" ref="K4:K51" si="0">+F4*10%</f>
        <v>9216.2325698196582</v>
      </c>
      <c r="L4" s="168">
        <f t="shared" ref="L4:L18" si="1">+F4*10%</f>
        <v>9216.2325698196582</v>
      </c>
      <c r="M4" s="169">
        <f>+pronostico!Q3*20%</f>
        <v>36864.930279278633</v>
      </c>
      <c r="N4" s="170">
        <f t="shared" ref="N4:N51" si="2">M4*D4</f>
        <v>181006807.67125809</v>
      </c>
      <c r="O4" s="171">
        <f t="shared" ref="O4:O51" si="3">N4*E4</f>
        <v>72402723.068503246</v>
      </c>
      <c r="P4" s="170">
        <f>+M4*50%</f>
        <v>18432.465139639316</v>
      </c>
      <c r="Q4" s="172">
        <f>+M4*50%</f>
        <v>18432.465139639316</v>
      </c>
      <c r="R4" s="173">
        <f>+pronostico!Q3*8%</f>
        <v>14745.972111711453</v>
      </c>
      <c r="S4" s="174">
        <f t="shared" ref="S4:S51" si="4">R4*D4</f>
        <v>72402723.068503231</v>
      </c>
      <c r="T4" s="175">
        <f t="shared" ref="T4:T51" si="5">S4*E4</f>
        <v>28961089.227401294</v>
      </c>
      <c r="U4" s="173">
        <f>+pronostico!Q3*8%</f>
        <v>14745.972111711453</v>
      </c>
      <c r="V4" s="176">
        <f t="shared" ref="V4:V35" si="6">U4*D4</f>
        <v>72402723.068503231</v>
      </c>
      <c r="W4" s="177">
        <f t="shared" ref="W4:W35" si="7">V4*E4</f>
        <v>28961089.227401294</v>
      </c>
      <c r="X4" s="173">
        <f>+pronostico!Q3*2%</f>
        <v>3686.4930279278633</v>
      </c>
      <c r="Y4" s="178">
        <f t="shared" ref="Y4:Y51" si="8">X4*D4</f>
        <v>18100680.767125808</v>
      </c>
      <c r="Z4" s="178">
        <f t="shared" ref="Z4:Z51" si="9">Y4*E4</f>
        <v>7240272.3068503235</v>
      </c>
      <c r="AA4" s="173">
        <f>+pronostico!Q3*2%</f>
        <v>3686.4930279278633</v>
      </c>
      <c r="AB4" s="176">
        <f t="shared" ref="AB4:AB51" si="10">AA4*D4</f>
        <v>18100680.767125808</v>
      </c>
      <c r="AC4" s="177">
        <f t="shared" ref="AC4:AC51" si="11">AB4*E4</f>
        <v>7240272.3068503235</v>
      </c>
      <c r="AD4" s="173">
        <f>+pronostico!Q3*10%</f>
        <v>18432.465139639316</v>
      </c>
      <c r="AE4" s="176">
        <f>+AD4*D4</f>
        <v>90503403.835629046</v>
      </c>
      <c r="AF4" s="177">
        <f>+AE4*E4</f>
        <v>36201361.534251623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+pronostico!Q4*50%</f>
        <v>63766.616505097307</v>
      </c>
      <c r="G5" s="137">
        <f t="shared" ref="G5:H51" si="13">F5*D5</f>
        <v>313094087.0400278</v>
      </c>
      <c r="H5" s="138">
        <f t="shared" si="13"/>
        <v>125237634.81601113</v>
      </c>
      <c r="I5" s="137">
        <f t="shared" ref="I5:I20" si="14">+F5*50%</f>
        <v>31883.308252548653</v>
      </c>
      <c r="J5" s="139">
        <f t="shared" ref="J5:J51" si="15">+F5*30%</f>
        <v>19129.98495152919</v>
      </c>
      <c r="K5" s="167">
        <f t="shared" si="0"/>
        <v>6376.6616505097309</v>
      </c>
      <c r="L5" s="168">
        <f t="shared" si="1"/>
        <v>6376.6616505097309</v>
      </c>
      <c r="M5" s="169">
        <f>+pronostico!Q4*20%</f>
        <v>25506.646602038923</v>
      </c>
      <c r="N5" s="170">
        <f t="shared" si="2"/>
        <v>125237634.81601112</v>
      </c>
      <c r="O5" s="171">
        <f t="shared" si="3"/>
        <v>50095053.926404446</v>
      </c>
      <c r="P5" s="170">
        <f t="shared" ref="P5:P51" si="16">+M5*50%</f>
        <v>12753.323301019462</v>
      </c>
      <c r="Q5" s="172">
        <f t="shared" ref="Q5:Q51" si="17">+M5*50%</f>
        <v>12753.323301019462</v>
      </c>
      <c r="R5" s="173">
        <f>+pronostico!Q4*8%</f>
        <v>10202.658640815569</v>
      </c>
      <c r="S5" s="174">
        <f t="shared" si="4"/>
        <v>50095053.926404446</v>
      </c>
      <c r="T5" s="175">
        <f t="shared" si="5"/>
        <v>20038021.570561778</v>
      </c>
      <c r="U5" s="173">
        <f>+pronostico!Q4*8%</f>
        <v>10202.658640815569</v>
      </c>
      <c r="V5" s="176">
        <f t="shared" si="6"/>
        <v>50095053.926404446</v>
      </c>
      <c r="W5" s="177">
        <f t="shared" si="7"/>
        <v>20038021.570561778</v>
      </c>
      <c r="X5" s="173">
        <f>+pronostico!Q4*2%</f>
        <v>2550.6646602038923</v>
      </c>
      <c r="Y5" s="178">
        <f t="shared" si="8"/>
        <v>12523763.481601112</v>
      </c>
      <c r="Z5" s="178">
        <f t="shared" si="9"/>
        <v>5009505.3926404445</v>
      </c>
      <c r="AA5" s="173">
        <f>+pronostico!Q4*2%</f>
        <v>2550.6646602038923</v>
      </c>
      <c r="AB5" s="179">
        <f t="shared" si="10"/>
        <v>12523763.481601112</v>
      </c>
      <c r="AC5" s="180">
        <f t="shared" si="11"/>
        <v>5009505.3926404445</v>
      </c>
      <c r="AD5" s="173">
        <f>+pronostico!Q4*10%</f>
        <v>12753.323301019462</v>
      </c>
      <c r="AE5" s="176">
        <f t="shared" ref="AE5:AF20" si="18">+AD5*D5</f>
        <v>62618817.408005558</v>
      </c>
      <c r="AF5" s="177">
        <f t="shared" si="18"/>
        <v>25047526.963202223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+pronostico!Q5*50%</f>
        <v>19200.48452045763</v>
      </c>
      <c r="G6" s="137">
        <f t="shared" si="13"/>
        <v>115202907.12274578</v>
      </c>
      <c r="H6" s="138">
        <f t="shared" si="13"/>
        <v>46081162.849098317</v>
      </c>
      <c r="I6" s="137">
        <f t="shared" si="14"/>
        <v>9600.2422602288152</v>
      </c>
      <c r="J6" s="139">
        <f t="shared" si="15"/>
        <v>5760.1453561372891</v>
      </c>
      <c r="K6" s="167">
        <f t="shared" si="0"/>
        <v>1920.048452045763</v>
      </c>
      <c r="L6" s="168">
        <f t="shared" si="1"/>
        <v>1920.048452045763</v>
      </c>
      <c r="M6" s="169">
        <f>+pronostico!Q5*20%</f>
        <v>7680.1938081830522</v>
      </c>
      <c r="N6" s="170">
        <f t="shared" si="2"/>
        <v>46081162.84909831</v>
      </c>
      <c r="O6" s="171">
        <f t="shared" si="3"/>
        <v>18432465.139639325</v>
      </c>
      <c r="P6" s="170">
        <f t="shared" si="16"/>
        <v>3840.0969040915261</v>
      </c>
      <c r="Q6" s="172">
        <f t="shared" si="17"/>
        <v>3840.0969040915261</v>
      </c>
      <c r="R6" s="173">
        <f>+pronostico!Q5*8%</f>
        <v>3072.0775232732208</v>
      </c>
      <c r="S6" s="174">
        <f t="shared" si="4"/>
        <v>18432465.139639325</v>
      </c>
      <c r="T6" s="175">
        <f t="shared" si="5"/>
        <v>7372986.0558557305</v>
      </c>
      <c r="U6" s="173">
        <f>+pronostico!Q5*8%</f>
        <v>3072.0775232732208</v>
      </c>
      <c r="V6" s="176">
        <f t="shared" si="6"/>
        <v>18432465.139639325</v>
      </c>
      <c r="W6" s="177">
        <f t="shared" si="7"/>
        <v>7372986.0558557305</v>
      </c>
      <c r="X6" s="173">
        <f>+pronostico!Q5*2%</f>
        <v>768.01938081830519</v>
      </c>
      <c r="Y6" s="178">
        <f t="shared" si="8"/>
        <v>4608116.2849098314</v>
      </c>
      <c r="Z6" s="178">
        <f t="shared" si="9"/>
        <v>1843246.5139639326</v>
      </c>
      <c r="AA6" s="173">
        <f>+pronostico!Q5*2%</f>
        <v>768.01938081830519</v>
      </c>
      <c r="AB6" s="179">
        <f t="shared" si="10"/>
        <v>4608116.2849098314</v>
      </c>
      <c r="AC6" s="180">
        <f t="shared" si="11"/>
        <v>1843246.5139639326</v>
      </c>
      <c r="AD6" s="173">
        <f>+pronostico!Q5*10%</f>
        <v>3840.0969040915261</v>
      </c>
      <c r="AE6" s="176">
        <f t="shared" si="18"/>
        <v>23040581.424549155</v>
      </c>
      <c r="AF6" s="177">
        <f t="shared" si="18"/>
        <v>9216232.5698196627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+pronostico!Q6*50%</f>
        <v>35943.307022296671</v>
      </c>
      <c r="G7" s="137">
        <f t="shared" si="13"/>
        <v>184389165.02438194</v>
      </c>
      <c r="H7" s="138">
        <f t="shared" si="13"/>
        <v>73755666.00975278</v>
      </c>
      <c r="I7" s="137">
        <f t="shared" si="14"/>
        <v>17971.653511148335</v>
      </c>
      <c r="J7" s="139">
        <f t="shared" si="15"/>
        <v>10782.992106689</v>
      </c>
      <c r="K7" s="167">
        <f t="shared" si="0"/>
        <v>3594.3307022296672</v>
      </c>
      <c r="L7" s="168">
        <f t="shared" si="1"/>
        <v>3594.3307022296672</v>
      </c>
      <c r="M7" s="169">
        <f>+pronostico!Q6*20%</f>
        <v>14377.322808918669</v>
      </c>
      <c r="N7" s="170">
        <f t="shared" si="2"/>
        <v>73755666.009752765</v>
      </c>
      <c r="O7" s="171">
        <f t="shared" si="3"/>
        <v>29502266.403901108</v>
      </c>
      <c r="P7" s="170">
        <f t="shared" si="16"/>
        <v>7188.6614044593343</v>
      </c>
      <c r="Q7" s="172">
        <f t="shared" si="17"/>
        <v>7188.6614044593343</v>
      </c>
      <c r="R7" s="173">
        <f>+pronostico!Q6*8%</f>
        <v>5750.9291235674673</v>
      </c>
      <c r="S7" s="174">
        <f t="shared" si="4"/>
        <v>29502266.403901108</v>
      </c>
      <c r="T7" s="175">
        <f t="shared" si="5"/>
        <v>11800906.561560445</v>
      </c>
      <c r="U7" s="173">
        <f>+pronostico!Q6*8%</f>
        <v>5750.9291235674673</v>
      </c>
      <c r="V7" s="176">
        <f t="shared" si="6"/>
        <v>29502266.403901108</v>
      </c>
      <c r="W7" s="177">
        <f t="shared" si="7"/>
        <v>11800906.561560445</v>
      </c>
      <c r="X7" s="173">
        <f>+pronostico!Q6*2%</f>
        <v>1437.7322808918668</v>
      </c>
      <c r="Y7" s="178">
        <f t="shared" si="8"/>
        <v>7375566.6009752769</v>
      </c>
      <c r="Z7" s="178">
        <f t="shared" si="9"/>
        <v>2950226.6403901111</v>
      </c>
      <c r="AA7" s="173">
        <f>+pronostico!Q6*2%</f>
        <v>1437.7322808918668</v>
      </c>
      <c r="AB7" s="179">
        <f t="shared" si="10"/>
        <v>7375566.6009752769</v>
      </c>
      <c r="AC7" s="180">
        <f t="shared" si="11"/>
        <v>2950226.6403901111</v>
      </c>
      <c r="AD7" s="173">
        <f>+pronostico!Q6*10%</f>
        <v>7188.6614044593343</v>
      </c>
      <c r="AE7" s="176">
        <f t="shared" si="18"/>
        <v>36877833.004876383</v>
      </c>
      <c r="AF7" s="177">
        <f t="shared" si="18"/>
        <v>14751133.201950554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+pronostico!Q7*50%</f>
        <v>26484.1468310991</v>
      </c>
      <c r="G8" s="137">
        <f t="shared" si="13"/>
        <v>226439455.40589732</v>
      </c>
      <c r="H8" s="138">
        <f t="shared" si="13"/>
        <v>90575782.16235894</v>
      </c>
      <c r="I8" s="137">
        <f t="shared" si="14"/>
        <v>13242.07341554955</v>
      </c>
      <c r="J8" s="139">
        <f t="shared" si="15"/>
        <v>7945.2440493297299</v>
      </c>
      <c r="K8" s="167">
        <f t="shared" si="0"/>
        <v>2648.4146831099101</v>
      </c>
      <c r="L8" s="168">
        <f t="shared" si="1"/>
        <v>2648.4146831099101</v>
      </c>
      <c r="M8" s="169">
        <f>+pronostico!Q7*20%</f>
        <v>10593.658732439641</v>
      </c>
      <c r="N8" s="170">
        <f t="shared" si="2"/>
        <v>90575782.162358925</v>
      </c>
      <c r="O8" s="171">
        <f t="shared" si="3"/>
        <v>36230312.864943571</v>
      </c>
      <c r="P8" s="170">
        <f t="shared" si="16"/>
        <v>5296.8293662198203</v>
      </c>
      <c r="Q8" s="172">
        <f t="shared" si="17"/>
        <v>5296.8293662198203</v>
      </c>
      <c r="R8" s="173">
        <f>+pronostico!Q7*8%</f>
        <v>4237.4634929758558</v>
      </c>
      <c r="S8" s="174">
        <f t="shared" si="4"/>
        <v>36230312.864943564</v>
      </c>
      <c r="T8" s="175">
        <f t="shared" si="5"/>
        <v>14492125.145977426</v>
      </c>
      <c r="U8" s="173">
        <f>+pronostico!Q7*8%</f>
        <v>4237.4634929758558</v>
      </c>
      <c r="V8" s="176">
        <f t="shared" si="6"/>
        <v>36230312.864943564</v>
      </c>
      <c r="W8" s="177">
        <f t="shared" si="7"/>
        <v>14492125.145977426</v>
      </c>
      <c r="X8" s="173">
        <f>+pronostico!Q7*2%</f>
        <v>1059.365873243964</v>
      </c>
      <c r="Y8" s="178">
        <f t="shared" si="8"/>
        <v>9057578.216235891</v>
      </c>
      <c r="Z8" s="178">
        <f t="shared" si="9"/>
        <v>3623031.2864943566</v>
      </c>
      <c r="AA8" s="173">
        <f>+pronostico!Q7*2%</f>
        <v>1059.365873243964</v>
      </c>
      <c r="AB8" s="179">
        <f t="shared" si="10"/>
        <v>9057578.216235891</v>
      </c>
      <c r="AC8" s="180">
        <f t="shared" si="11"/>
        <v>3623031.2864943566</v>
      </c>
      <c r="AD8" s="173">
        <f>+pronostico!Q7*10%</f>
        <v>5296.8293662198203</v>
      </c>
      <c r="AE8" s="176">
        <f t="shared" si="18"/>
        <v>45287891.081179462</v>
      </c>
      <c r="AF8" s="177">
        <f t="shared" si="18"/>
        <v>18115156.432471786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+pronostico!Q8*50%</f>
        <v>29622.075300793043</v>
      </c>
      <c r="G9" s="137">
        <f t="shared" si="13"/>
        <v>299182960.53800976</v>
      </c>
      <c r="H9" s="138">
        <f t="shared" si="13"/>
        <v>119673184.21520391</v>
      </c>
      <c r="I9" s="137">
        <f t="shared" si="14"/>
        <v>14811.037650396522</v>
      </c>
      <c r="J9" s="139">
        <f t="shared" si="15"/>
        <v>8886.6225902379119</v>
      </c>
      <c r="K9" s="167">
        <f t="shared" si="0"/>
        <v>2962.2075300793044</v>
      </c>
      <c r="L9" s="168">
        <f t="shared" si="1"/>
        <v>2962.2075300793044</v>
      </c>
      <c r="M9" s="169">
        <f>+pronostico!Q8*20%</f>
        <v>11848.830120317218</v>
      </c>
      <c r="N9" s="170">
        <f t="shared" si="2"/>
        <v>119673184.2152039</v>
      </c>
      <c r="O9" s="171">
        <f t="shared" si="3"/>
        <v>47869273.686081558</v>
      </c>
      <c r="P9" s="170">
        <f t="shared" si="16"/>
        <v>5924.4150601586089</v>
      </c>
      <c r="Q9" s="172">
        <f t="shared" si="17"/>
        <v>5924.4150601586089</v>
      </c>
      <c r="R9" s="173">
        <f>+pronostico!Q8*8%</f>
        <v>4739.5320481268873</v>
      </c>
      <c r="S9" s="174">
        <f t="shared" si="4"/>
        <v>47869273.686081558</v>
      </c>
      <c r="T9" s="175">
        <f t="shared" si="5"/>
        <v>19147709.474432625</v>
      </c>
      <c r="U9" s="173">
        <f>+pronostico!Q8*8%</f>
        <v>4739.5320481268873</v>
      </c>
      <c r="V9" s="176">
        <f t="shared" si="6"/>
        <v>47869273.686081558</v>
      </c>
      <c r="W9" s="177">
        <f t="shared" si="7"/>
        <v>19147709.474432625</v>
      </c>
      <c r="X9" s="173">
        <f>+pronostico!Q8*2%</f>
        <v>1184.8830120317218</v>
      </c>
      <c r="Y9" s="178">
        <f t="shared" si="8"/>
        <v>11967318.42152039</v>
      </c>
      <c r="Z9" s="178">
        <f t="shared" si="9"/>
        <v>4786927.3686081562</v>
      </c>
      <c r="AA9" s="173">
        <f>+pronostico!Q8*2%</f>
        <v>1184.8830120317218</v>
      </c>
      <c r="AB9" s="179">
        <f t="shared" si="10"/>
        <v>11967318.42152039</v>
      </c>
      <c r="AC9" s="180">
        <f t="shared" si="11"/>
        <v>4786927.3686081562</v>
      </c>
      <c r="AD9" s="173">
        <f>+pronostico!Q8*10%</f>
        <v>5924.4150601586089</v>
      </c>
      <c r="AE9" s="176">
        <f t="shared" si="18"/>
        <v>59836592.107601948</v>
      </c>
      <c r="AF9" s="177">
        <f t="shared" si="18"/>
        <v>23934636.843040779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+pronostico!Q9*50%</f>
        <v>36139.768245347332</v>
      </c>
      <c r="G10" s="137">
        <f t="shared" si="13"/>
        <v>84567057.694112763</v>
      </c>
      <c r="H10" s="138">
        <f t="shared" si="13"/>
        <v>42283528.847056381</v>
      </c>
      <c r="I10" s="137">
        <f t="shared" si="14"/>
        <v>18069.884122673666</v>
      </c>
      <c r="J10" s="139">
        <f t="shared" si="15"/>
        <v>10841.9304736042</v>
      </c>
      <c r="K10" s="167">
        <f t="shared" si="0"/>
        <v>3613.9768245347332</v>
      </c>
      <c r="L10" s="168">
        <f t="shared" si="1"/>
        <v>3613.9768245347332</v>
      </c>
      <c r="M10" s="169">
        <f>+pronostico!Q9*20%</f>
        <v>14455.907298138933</v>
      </c>
      <c r="N10" s="170">
        <f t="shared" si="2"/>
        <v>33826823.077645101</v>
      </c>
      <c r="O10" s="171">
        <f t="shared" si="3"/>
        <v>16913411.53882255</v>
      </c>
      <c r="P10" s="170">
        <f t="shared" si="16"/>
        <v>7227.9536490694663</v>
      </c>
      <c r="Q10" s="172">
        <f t="shared" si="17"/>
        <v>7227.9536490694663</v>
      </c>
      <c r="R10" s="173">
        <f>+pronostico!Q9*8%</f>
        <v>5782.3629192555736</v>
      </c>
      <c r="S10" s="174">
        <f t="shared" si="4"/>
        <v>13530729.231058042</v>
      </c>
      <c r="T10" s="175">
        <f t="shared" si="5"/>
        <v>6765364.6155290212</v>
      </c>
      <c r="U10" s="173">
        <f>+pronostico!Q9*8%</f>
        <v>5782.3629192555736</v>
      </c>
      <c r="V10" s="176">
        <f t="shared" si="6"/>
        <v>13530729.231058042</v>
      </c>
      <c r="W10" s="177">
        <f t="shared" si="7"/>
        <v>6765364.6155290212</v>
      </c>
      <c r="X10" s="173">
        <f>+pronostico!Q9*2%</f>
        <v>1445.5907298138934</v>
      </c>
      <c r="Y10" s="178">
        <f t="shared" si="8"/>
        <v>3382682.3077645106</v>
      </c>
      <c r="Z10" s="178">
        <f t="shared" si="9"/>
        <v>1691341.1538822553</v>
      </c>
      <c r="AA10" s="173">
        <f>+pronostico!Q9*2%</f>
        <v>1445.5907298138934</v>
      </c>
      <c r="AB10" s="179">
        <f t="shared" si="10"/>
        <v>3382682.3077645106</v>
      </c>
      <c r="AC10" s="180">
        <f t="shared" si="11"/>
        <v>1691341.1538822553</v>
      </c>
      <c r="AD10" s="173">
        <f>+pronostico!Q9*10%</f>
        <v>7227.9536490694663</v>
      </c>
      <c r="AE10" s="176">
        <f t="shared" si="18"/>
        <v>16913411.53882255</v>
      </c>
      <c r="AF10" s="177">
        <f t="shared" si="18"/>
        <v>8456705.7694112752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+pronostico!Q10*50%</f>
        <v>15272.928067493898</v>
      </c>
      <c r="G11" s="137">
        <f t="shared" si="13"/>
        <v>35738651.677935719</v>
      </c>
      <c r="H11" s="138">
        <f t="shared" si="13"/>
        <v>17869325.83896786</v>
      </c>
      <c r="I11" s="137">
        <f t="shared" si="14"/>
        <v>7636.4640337469491</v>
      </c>
      <c r="J11" s="139">
        <f t="shared" si="15"/>
        <v>4581.8784202481693</v>
      </c>
      <c r="K11" s="167">
        <f t="shared" si="0"/>
        <v>1527.2928067493899</v>
      </c>
      <c r="L11" s="168">
        <f t="shared" si="1"/>
        <v>1527.2928067493899</v>
      </c>
      <c r="M11" s="169">
        <f>+pronostico!Q10*20%</f>
        <v>6109.1712269975596</v>
      </c>
      <c r="N11" s="170">
        <f t="shared" si="2"/>
        <v>14295460.67117429</v>
      </c>
      <c r="O11" s="171">
        <f t="shared" si="3"/>
        <v>7147730.3355871448</v>
      </c>
      <c r="P11" s="170">
        <f t="shared" si="16"/>
        <v>3054.5856134987798</v>
      </c>
      <c r="Q11" s="172">
        <f t="shared" si="17"/>
        <v>3054.5856134987798</v>
      </c>
      <c r="R11" s="173">
        <f>+pronostico!Q10*8%</f>
        <v>2443.6684907990239</v>
      </c>
      <c r="S11" s="174">
        <f t="shared" si="4"/>
        <v>5718184.2684697155</v>
      </c>
      <c r="T11" s="175">
        <f t="shared" si="5"/>
        <v>2859092.1342348577</v>
      </c>
      <c r="U11" s="173">
        <f>+pronostico!Q10*8%</f>
        <v>2443.6684907990239</v>
      </c>
      <c r="V11" s="176">
        <f t="shared" si="6"/>
        <v>5718184.2684697155</v>
      </c>
      <c r="W11" s="177">
        <f t="shared" si="7"/>
        <v>2859092.1342348577</v>
      </c>
      <c r="X11" s="173">
        <f>+pronostico!Q10*2%</f>
        <v>610.91712269975596</v>
      </c>
      <c r="Y11" s="178">
        <f t="shared" si="8"/>
        <v>1429546.0671174289</v>
      </c>
      <c r="Z11" s="178">
        <f t="shared" si="9"/>
        <v>714773.03355871444</v>
      </c>
      <c r="AA11" s="173">
        <f>+pronostico!Q10*2%</f>
        <v>610.91712269975596</v>
      </c>
      <c r="AB11" s="179">
        <f t="shared" si="10"/>
        <v>1429546.0671174289</v>
      </c>
      <c r="AC11" s="180">
        <f t="shared" si="11"/>
        <v>714773.03355871444</v>
      </c>
      <c r="AD11" s="173">
        <f>+pronostico!Q10*10%</f>
        <v>3054.5856134987798</v>
      </c>
      <c r="AE11" s="176">
        <f t="shared" si="18"/>
        <v>7147730.3355871448</v>
      </c>
      <c r="AF11" s="177">
        <f t="shared" si="18"/>
        <v>3573865.1677935724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+pronostico!Q11*50%</f>
        <v>60554.887718132697</v>
      </c>
      <c r="G12" s="137">
        <f t="shared" si="13"/>
        <v>135642948.48861724</v>
      </c>
      <c r="H12" s="138">
        <f t="shared" si="13"/>
        <v>67821474.244308621</v>
      </c>
      <c r="I12" s="137">
        <f t="shared" si="14"/>
        <v>30277.443859066349</v>
      </c>
      <c r="J12" s="139">
        <f t="shared" si="15"/>
        <v>18166.466315439808</v>
      </c>
      <c r="K12" s="167">
        <f t="shared" si="0"/>
        <v>6055.4887718132704</v>
      </c>
      <c r="L12" s="168">
        <f t="shared" si="1"/>
        <v>6055.4887718132704</v>
      </c>
      <c r="M12" s="169">
        <f>+pronostico!Q11*20%</f>
        <v>24221.955087253082</v>
      </c>
      <c r="N12" s="170">
        <f t="shared" si="2"/>
        <v>54257179.395446904</v>
      </c>
      <c r="O12" s="171">
        <f t="shared" si="3"/>
        <v>27128589.697723452</v>
      </c>
      <c r="P12" s="170">
        <f t="shared" si="16"/>
        <v>12110.977543626541</v>
      </c>
      <c r="Q12" s="172">
        <f t="shared" si="17"/>
        <v>12110.977543626541</v>
      </c>
      <c r="R12" s="173">
        <f>+pronostico!Q11*8%</f>
        <v>9688.7820349012309</v>
      </c>
      <c r="S12" s="174">
        <f t="shared" si="4"/>
        <v>21702871.758178756</v>
      </c>
      <c r="T12" s="175">
        <f t="shared" si="5"/>
        <v>10851435.879089378</v>
      </c>
      <c r="U12" s="173">
        <f>+pronostico!Q11*8%</f>
        <v>9688.7820349012309</v>
      </c>
      <c r="V12" s="176">
        <f t="shared" si="6"/>
        <v>21702871.758178756</v>
      </c>
      <c r="W12" s="177">
        <f t="shared" si="7"/>
        <v>10851435.879089378</v>
      </c>
      <c r="X12" s="173">
        <f>+pronostico!Q11*2%</f>
        <v>2422.1955087253077</v>
      </c>
      <c r="Y12" s="178">
        <f t="shared" si="8"/>
        <v>5425717.9395446889</v>
      </c>
      <c r="Z12" s="178">
        <f t="shared" si="9"/>
        <v>2712858.9697723445</v>
      </c>
      <c r="AA12" s="173">
        <f>+pronostico!Q11*2%</f>
        <v>2422.1955087253077</v>
      </c>
      <c r="AB12" s="179">
        <f t="shared" si="10"/>
        <v>5425717.9395446889</v>
      </c>
      <c r="AC12" s="180">
        <f t="shared" si="11"/>
        <v>2712858.9697723445</v>
      </c>
      <c r="AD12" s="173">
        <f>+pronostico!Q11*10%</f>
        <v>12110.977543626541</v>
      </c>
      <c r="AE12" s="176">
        <f t="shared" si="18"/>
        <v>27128589.697723452</v>
      </c>
      <c r="AF12" s="177">
        <f t="shared" si="18"/>
        <v>13564294.848861726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+pronostico!Q12*50%</f>
        <v>49523.412745328067</v>
      </c>
      <c r="G13" s="137">
        <f t="shared" si="13"/>
        <v>113903849.31425455</v>
      </c>
      <c r="H13" s="138">
        <f t="shared" si="13"/>
        <v>56951924.657127276</v>
      </c>
      <c r="I13" s="137">
        <f t="shared" si="14"/>
        <v>24761.706372664034</v>
      </c>
      <c r="J13" s="139">
        <f t="shared" si="15"/>
        <v>14857.02382359842</v>
      </c>
      <c r="K13" s="167">
        <f t="shared" si="0"/>
        <v>4952.3412745328069</v>
      </c>
      <c r="L13" s="168">
        <f t="shared" si="1"/>
        <v>4952.3412745328069</v>
      </c>
      <c r="M13" s="169">
        <f>+pronostico!Q12*20%</f>
        <v>19809.365098131228</v>
      </c>
      <c r="N13" s="170">
        <f t="shared" si="2"/>
        <v>45561539.725701824</v>
      </c>
      <c r="O13" s="171">
        <f t="shared" si="3"/>
        <v>22780769.862850912</v>
      </c>
      <c r="P13" s="170">
        <f t="shared" si="16"/>
        <v>9904.6825490656138</v>
      </c>
      <c r="Q13" s="172">
        <f t="shared" si="17"/>
        <v>9904.6825490656138</v>
      </c>
      <c r="R13" s="173">
        <f>+pronostico!Q12*8%</f>
        <v>7923.7460392524908</v>
      </c>
      <c r="S13" s="174">
        <f t="shared" si="4"/>
        <v>18224615.890280727</v>
      </c>
      <c r="T13" s="175">
        <f t="shared" si="5"/>
        <v>9112307.9451403636</v>
      </c>
      <c r="U13" s="173">
        <f>+pronostico!Q12*8%</f>
        <v>7923.7460392524908</v>
      </c>
      <c r="V13" s="176">
        <f t="shared" si="6"/>
        <v>18224615.890280727</v>
      </c>
      <c r="W13" s="177">
        <f t="shared" si="7"/>
        <v>9112307.9451403636</v>
      </c>
      <c r="X13" s="173">
        <f>+pronostico!Q12*2%</f>
        <v>1980.9365098131227</v>
      </c>
      <c r="Y13" s="178">
        <f t="shared" si="8"/>
        <v>4556153.9725701818</v>
      </c>
      <c r="Z13" s="178">
        <f t="shared" si="9"/>
        <v>2278076.9862850909</v>
      </c>
      <c r="AA13" s="173">
        <f>+pronostico!Q12*2%</f>
        <v>1980.9365098131227</v>
      </c>
      <c r="AB13" s="179">
        <f t="shared" si="10"/>
        <v>4556153.9725701818</v>
      </c>
      <c r="AC13" s="180">
        <f t="shared" si="11"/>
        <v>2278076.9862850909</v>
      </c>
      <c r="AD13" s="173">
        <f>+pronostico!Q12*10%</f>
        <v>9904.6825490656138</v>
      </c>
      <c r="AE13" s="176">
        <f t="shared" si="18"/>
        <v>22780769.862850912</v>
      </c>
      <c r="AF13" s="177">
        <f t="shared" si="18"/>
        <v>11390384.931425456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+pronostico!Q13*50%</f>
        <v>31963.01133640933</v>
      </c>
      <c r="G14" s="137">
        <f t="shared" si="13"/>
        <v>40273394.283875756</v>
      </c>
      <c r="H14" s="138">
        <f t="shared" si="13"/>
        <v>20136697.141937878</v>
      </c>
      <c r="I14" s="137">
        <f t="shared" si="14"/>
        <v>15981.505668204665</v>
      </c>
      <c r="J14" s="139">
        <f t="shared" si="15"/>
        <v>9588.903400922798</v>
      </c>
      <c r="K14" s="167">
        <f t="shared" si="0"/>
        <v>3196.3011336409331</v>
      </c>
      <c r="L14" s="168">
        <f t="shared" si="1"/>
        <v>3196.3011336409331</v>
      </c>
      <c r="M14" s="169">
        <f>+pronostico!Q13*20%</f>
        <v>12785.204534563733</v>
      </c>
      <c r="N14" s="170">
        <f t="shared" si="2"/>
        <v>16109357.713550303</v>
      </c>
      <c r="O14" s="171">
        <f t="shared" si="3"/>
        <v>8054678.8567751516</v>
      </c>
      <c r="P14" s="170">
        <f t="shared" si="16"/>
        <v>6392.6022672818663</v>
      </c>
      <c r="Q14" s="172">
        <f t="shared" si="17"/>
        <v>6392.6022672818663</v>
      </c>
      <c r="R14" s="173">
        <f>+pronostico!Q13*8%</f>
        <v>5114.0818138254926</v>
      </c>
      <c r="S14" s="174">
        <f t="shared" si="4"/>
        <v>6443743.0854201205</v>
      </c>
      <c r="T14" s="175">
        <f t="shared" si="5"/>
        <v>3221871.5427100603</v>
      </c>
      <c r="U14" s="173">
        <f>+pronostico!Q13*8%</f>
        <v>5114.0818138254926</v>
      </c>
      <c r="V14" s="176">
        <f t="shared" si="6"/>
        <v>6443743.0854201205</v>
      </c>
      <c r="W14" s="177">
        <f t="shared" si="7"/>
        <v>3221871.5427100603</v>
      </c>
      <c r="X14" s="173">
        <f>+pronostico!Q13*2%</f>
        <v>1278.5204534563732</v>
      </c>
      <c r="Y14" s="178">
        <f t="shared" si="8"/>
        <v>1610935.7713550301</v>
      </c>
      <c r="Z14" s="178">
        <f t="shared" si="9"/>
        <v>805467.88567751506</v>
      </c>
      <c r="AA14" s="173">
        <f>+pronostico!Q13*2%</f>
        <v>1278.5204534563732</v>
      </c>
      <c r="AB14" s="179">
        <f t="shared" si="10"/>
        <v>1610935.7713550301</v>
      </c>
      <c r="AC14" s="180">
        <f t="shared" si="11"/>
        <v>805467.88567751506</v>
      </c>
      <c r="AD14" s="173">
        <f>+pronostico!Q13*10%</f>
        <v>6392.6022672818663</v>
      </c>
      <c r="AE14" s="176">
        <f t="shared" si="18"/>
        <v>8054678.8567751516</v>
      </c>
      <c r="AF14" s="177">
        <f t="shared" si="18"/>
        <v>4027339.4283875758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+pronostico!Q14*50%</f>
        <v>25077.485520806895</v>
      </c>
      <c r="G15" s="137">
        <f t="shared" si="13"/>
        <v>31597631.756216686</v>
      </c>
      <c r="H15" s="138">
        <f t="shared" si="13"/>
        <v>15798815.878108343</v>
      </c>
      <c r="I15" s="137">
        <f t="shared" si="14"/>
        <v>12538.742760403447</v>
      </c>
      <c r="J15" s="139">
        <f t="shared" si="15"/>
        <v>7523.2456562420684</v>
      </c>
      <c r="K15" s="167">
        <f t="shared" si="0"/>
        <v>2507.7485520806895</v>
      </c>
      <c r="L15" s="168">
        <f t="shared" si="1"/>
        <v>2507.7485520806895</v>
      </c>
      <c r="M15" s="169">
        <f>+pronostico!Q14*20%</f>
        <v>10030.994208322758</v>
      </c>
      <c r="N15" s="170">
        <f t="shared" si="2"/>
        <v>12639052.702486675</v>
      </c>
      <c r="O15" s="171">
        <f t="shared" si="3"/>
        <v>6319526.3512433376</v>
      </c>
      <c r="P15" s="170">
        <f t="shared" si="16"/>
        <v>5015.497104161379</v>
      </c>
      <c r="Q15" s="172">
        <f t="shared" si="17"/>
        <v>5015.497104161379</v>
      </c>
      <c r="R15" s="173">
        <f>+pronostico!Q14*8%</f>
        <v>4012.3976833291031</v>
      </c>
      <c r="S15" s="174">
        <f t="shared" si="4"/>
        <v>5055621.0809946703</v>
      </c>
      <c r="T15" s="175">
        <f t="shared" si="5"/>
        <v>2527810.5404973351</v>
      </c>
      <c r="U15" s="173">
        <f>+pronostico!Q14*8%</f>
        <v>4012.3976833291031</v>
      </c>
      <c r="V15" s="176">
        <f t="shared" si="6"/>
        <v>5055621.0809946703</v>
      </c>
      <c r="W15" s="177">
        <f t="shared" si="7"/>
        <v>2527810.5404973351</v>
      </c>
      <c r="X15" s="173">
        <f>+pronostico!Q14*2%</f>
        <v>1003.0994208322758</v>
      </c>
      <c r="Y15" s="178">
        <f t="shared" si="8"/>
        <v>1263905.2702486676</v>
      </c>
      <c r="Z15" s="178">
        <f t="shared" si="9"/>
        <v>631952.63512433378</v>
      </c>
      <c r="AA15" s="173">
        <f>+pronostico!Q14*2%</f>
        <v>1003.0994208322758</v>
      </c>
      <c r="AB15" s="179">
        <f t="shared" si="10"/>
        <v>1263905.2702486676</v>
      </c>
      <c r="AC15" s="180">
        <f t="shared" si="11"/>
        <v>631952.63512433378</v>
      </c>
      <c r="AD15" s="173">
        <f>+pronostico!Q14*10%</f>
        <v>5015.497104161379</v>
      </c>
      <c r="AE15" s="176">
        <f t="shared" si="18"/>
        <v>6319526.3512433376</v>
      </c>
      <c r="AF15" s="177">
        <f t="shared" si="18"/>
        <v>3159763.1756216688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+pronostico!Q15*50%</f>
        <v>36661.188906339354</v>
      </c>
      <c r="G16" s="137">
        <f t="shared" si="13"/>
        <v>99351821.936179653</v>
      </c>
      <c r="H16" s="138">
        <f t="shared" si="13"/>
        <v>49675910.968089826</v>
      </c>
      <c r="I16" s="137">
        <f t="shared" si="14"/>
        <v>18330.594453169677</v>
      </c>
      <c r="J16" s="139">
        <f t="shared" si="15"/>
        <v>10998.356671901805</v>
      </c>
      <c r="K16" s="167">
        <f t="shared" si="0"/>
        <v>3666.1188906339357</v>
      </c>
      <c r="L16" s="168">
        <f t="shared" si="1"/>
        <v>3666.1188906339357</v>
      </c>
      <c r="M16" s="169">
        <f>+pronostico!Q15*20%</f>
        <v>14664.475562535743</v>
      </c>
      <c r="N16" s="170">
        <f t="shared" si="2"/>
        <v>39740728.774471864</v>
      </c>
      <c r="O16" s="171">
        <f t="shared" si="3"/>
        <v>19870364.387235932</v>
      </c>
      <c r="P16" s="170">
        <f t="shared" si="16"/>
        <v>7332.2377812678715</v>
      </c>
      <c r="Q16" s="172">
        <f t="shared" si="17"/>
        <v>7332.2377812678715</v>
      </c>
      <c r="R16" s="173">
        <f>+pronostico!Q15*8%</f>
        <v>5865.790225014297</v>
      </c>
      <c r="S16" s="174">
        <f t="shared" si="4"/>
        <v>15896291.509788744</v>
      </c>
      <c r="T16" s="175">
        <f t="shared" si="5"/>
        <v>7948145.7548943721</v>
      </c>
      <c r="U16" s="173">
        <f>+pronostico!Q15*8%</f>
        <v>5865.790225014297</v>
      </c>
      <c r="V16" s="176">
        <f t="shared" si="6"/>
        <v>15896291.509788744</v>
      </c>
      <c r="W16" s="177">
        <f t="shared" si="7"/>
        <v>7948145.7548943721</v>
      </c>
      <c r="X16" s="173">
        <f>+pronostico!Q15*2%</f>
        <v>1466.4475562535742</v>
      </c>
      <c r="Y16" s="178">
        <f t="shared" si="8"/>
        <v>3974072.877447186</v>
      </c>
      <c r="Z16" s="178">
        <f t="shared" si="9"/>
        <v>1987036.438723593</v>
      </c>
      <c r="AA16" s="173">
        <f>+pronostico!Q15*2%</f>
        <v>1466.4475562535742</v>
      </c>
      <c r="AB16" s="179">
        <f t="shared" si="10"/>
        <v>3974072.877447186</v>
      </c>
      <c r="AC16" s="180">
        <f t="shared" si="11"/>
        <v>1987036.438723593</v>
      </c>
      <c r="AD16" s="173">
        <f>+pronostico!Q15*10%</f>
        <v>7332.2377812678715</v>
      </c>
      <c r="AE16" s="176">
        <f t="shared" si="18"/>
        <v>19870364.387235932</v>
      </c>
      <c r="AF16" s="177">
        <f t="shared" si="18"/>
        <v>9935182.193617966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+pronostico!Q16*50%</f>
        <v>36122.053775363725</v>
      </c>
      <c r="G17" s="137">
        <f t="shared" si="13"/>
        <v>53460639.587538317</v>
      </c>
      <c r="H17" s="138">
        <f t="shared" si="13"/>
        <v>26730319.793769158</v>
      </c>
      <c r="I17" s="137">
        <f t="shared" si="14"/>
        <v>18061.026887681863</v>
      </c>
      <c r="J17" s="139">
        <f t="shared" si="15"/>
        <v>10836.616132609117</v>
      </c>
      <c r="K17" s="167">
        <f t="shared" si="0"/>
        <v>3612.2053775363729</v>
      </c>
      <c r="L17" s="168">
        <f t="shared" si="1"/>
        <v>3612.2053775363729</v>
      </c>
      <c r="M17" s="169">
        <f>+pronostico!Q16*20%</f>
        <v>14448.821510145492</v>
      </c>
      <c r="N17" s="170">
        <f t="shared" si="2"/>
        <v>21384255.835015327</v>
      </c>
      <c r="O17" s="171">
        <f t="shared" si="3"/>
        <v>10692127.917507663</v>
      </c>
      <c r="P17" s="170">
        <f t="shared" si="16"/>
        <v>7224.4107550727458</v>
      </c>
      <c r="Q17" s="172">
        <f t="shared" si="17"/>
        <v>7224.4107550727458</v>
      </c>
      <c r="R17" s="173">
        <f>+pronostico!Q16*8%</f>
        <v>5779.5286040581959</v>
      </c>
      <c r="S17" s="174">
        <f t="shared" si="4"/>
        <v>8553702.3340061307</v>
      </c>
      <c r="T17" s="175">
        <f t="shared" si="5"/>
        <v>4276851.1670030653</v>
      </c>
      <c r="U17" s="173">
        <f>+pronostico!Q16*8%</f>
        <v>5779.5286040581959</v>
      </c>
      <c r="V17" s="176">
        <f t="shared" si="6"/>
        <v>8553702.3340061307</v>
      </c>
      <c r="W17" s="177">
        <f t="shared" si="7"/>
        <v>4276851.1670030653</v>
      </c>
      <c r="X17" s="173">
        <f>+pronostico!Q16*2%</f>
        <v>1444.882151014549</v>
      </c>
      <c r="Y17" s="178">
        <f t="shared" si="8"/>
        <v>2138425.5835015327</v>
      </c>
      <c r="Z17" s="178">
        <f t="shared" si="9"/>
        <v>1069212.7917507663</v>
      </c>
      <c r="AA17" s="173">
        <f>+pronostico!Q16*2%</f>
        <v>1444.882151014549</v>
      </c>
      <c r="AB17" s="179">
        <f t="shared" si="10"/>
        <v>2138425.5835015327</v>
      </c>
      <c r="AC17" s="180">
        <f t="shared" si="11"/>
        <v>1069212.7917507663</v>
      </c>
      <c r="AD17" s="173">
        <f>+pronostico!Q16*10%</f>
        <v>7224.4107550727458</v>
      </c>
      <c r="AE17" s="176">
        <f t="shared" si="18"/>
        <v>10692127.917507663</v>
      </c>
      <c r="AF17" s="177">
        <f t="shared" si="18"/>
        <v>5346063.9587538317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+pronostico!Q17*50%</f>
        <v>123394.02115531452</v>
      </c>
      <c r="G18" s="137">
        <f t="shared" si="13"/>
        <v>291209889.92654228</v>
      </c>
      <c r="H18" s="138">
        <f t="shared" si="13"/>
        <v>145604944.96327114</v>
      </c>
      <c r="I18" s="137">
        <f t="shared" si="14"/>
        <v>61697.01057765726</v>
      </c>
      <c r="J18" s="139">
        <f t="shared" si="15"/>
        <v>37018.206346594357</v>
      </c>
      <c r="K18" s="167">
        <f t="shared" si="0"/>
        <v>12339.402115531453</v>
      </c>
      <c r="L18" s="168">
        <f t="shared" si="1"/>
        <v>12339.402115531453</v>
      </c>
      <c r="M18" s="169">
        <f>+pronostico!Q17*20%</f>
        <v>49357.608462125812</v>
      </c>
      <c r="N18" s="170">
        <f t="shared" si="2"/>
        <v>116483955.97061692</v>
      </c>
      <c r="O18" s="171">
        <f t="shared" si="3"/>
        <v>58241977.985308461</v>
      </c>
      <c r="P18" s="170">
        <f t="shared" si="16"/>
        <v>24678.804231062906</v>
      </c>
      <c r="Q18" s="172">
        <f t="shared" si="17"/>
        <v>24678.804231062906</v>
      </c>
      <c r="R18" s="173">
        <f>+pronostico!Q17*8%</f>
        <v>19743.043384850323</v>
      </c>
      <c r="S18" s="174">
        <f t="shared" si="4"/>
        <v>46593582.38824676</v>
      </c>
      <c r="T18" s="175">
        <f t="shared" si="5"/>
        <v>23296791.19412338</v>
      </c>
      <c r="U18" s="173">
        <f>+pronostico!Q17*8%</f>
        <v>19743.043384850323</v>
      </c>
      <c r="V18" s="176">
        <f t="shared" si="6"/>
        <v>46593582.38824676</v>
      </c>
      <c r="W18" s="177">
        <f t="shared" si="7"/>
        <v>23296791.19412338</v>
      </c>
      <c r="X18" s="173">
        <f>+pronostico!Q17*2%</f>
        <v>4935.7608462125809</v>
      </c>
      <c r="Y18" s="178">
        <f t="shared" si="8"/>
        <v>11648395.59706169</v>
      </c>
      <c r="Z18" s="178">
        <f t="shared" si="9"/>
        <v>5824197.798530845</v>
      </c>
      <c r="AA18" s="173">
        <f>+pronostico!Q17*2%</f>
        <v>4935.7608462125809</v>
      </c>
      <c r="AB18" s="179">
        <f t="shared" si="10"/>
        <v>11648395.59706169</v>
      </c>
      <c r="AC18" s="180">
        <f t="shared" si="11"/>
        <v>5824197.798530845</v>
      </c>
      <c r="AD18" s="173">
        <f>+pronostico!Q17*10%</f>
        <v>24678.804231062906</v>
      </c>
      <c r="AE18" s="176">
        <f t="shared" si="18"/>
        <v>58241977.985308461</v>
      </c>
      <c r="AF18" s="177">
        <f t="shared" si="18"/>
        <v>29120988.99265423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+pronostico!Q18*50%</f>
        <v>28809.915957653509</v>
      </c>
      <c r="G19" s="137">
        <f t="shared" si="13"/>
        <v>144049579.78826755</v>
      </c>
      <c r="H19" s="138">
        <f t="shared" si="13"/>
        <v>57619831.915307023</v>
      </c>
      <c r="I19" s="137">
        <f>+F19*60%</f>
        <v>17285.949574592105</v>
      </c>
      <c r="J19" s="139">
        <f t="shared" si="15"/>
        <v>8642.9747872960525</v>
      </c>
      <c r="K19" s="167">
        <f t="shared" si="0"/>
        <v>2880.9915957653511</v>
      </c>
      <c r="L19" s="168" t="s">
        <v>21</v>
      </c>
      <c r="M19" s="169">
        <f>+pronostico!Q18*20%</f>
        <v>11523.966383061404</v>
      </c>
      <c r="N19" s="170">
        <f t="shared" si="2"/>
        <v>57619831.915307023</v>
      </c>
      <c r="O19" s="171">
        <f t="shared" si="3"/>
        <v>23047932.766122811</v>
      </c>
      <c r="P19" s="170">
        <f t="shared" si="16"/>
        <v>5761.9831915307022</v>
      </c>
      <c r="Q19" s="172">
        <f t="shared" si="17"/>
        <v>5761.9831915307022</v>
      </c>
      <c r="R19" s="173">
        <f>+pronostico!Q18*8%</f>
        <v>4609.5865532245616</v>
      </c>
      <c r="S19" s="174">
        <f t="shared" si="4"/>
        <v>23047932.766122807</v>
      </c>
      <c r="T19" s="175">
        <f t="shared" si="5"/>
        <v>9219173.1064491235</v>
      </c>
      <c r="U19" s="173">
        <f>+pronostico!Q18*8%</f>
        <v>4609.5865532245616</v>
      </c>
      <c r="V19" s="176">
        <f t="shared" si="6"/>
        <v>23047932.766122807</v>
      </c>
      <c r="W19" s="177">
        <f t="shared" si="7"/>
        <v>9219173.1064491235</v>
      </c>
      <c r="X19" s="173">
        <f>+pronostico!Q18*2%</f>
        <v>1152.3966383061404</v>
      </c>
      <c r="Y19" s="178">
        <f t="shared" si="8"/>
        <v>5761983.1915307017</v>
      </c>
      <c r="Z19" s="178">
        <f t="shared" si="9"/>
        <v>2304793.2766122809</v>
      </c>
      <c r="AA19" s="173">
        <f>+pronostico!Q18*2%</f>
        <v>1152.3966383061404</v>
      </c>
      <c r="AB19" s="179">
        <f t="shared" si="10"/>
        <v>5761983.1915307017</v>
      </c>
      <c r="AC19" s="180">
        <f t="shared" si="11"/>
        <v>2304793.2766122809</v>
      </c>
      <c r="AD19" s="173">
        <f>+pronostico!Q18*10%</f>
        <v>5761.9831915307022</v>
      </c>
      <c r="AE19" s="176">
        <f t="shared" si="18"/>
        <v>28809915.957653511</v>
      </c>
      <c r="AF19" s="177">
        <f t="shared" si="18"/>
        <v>11523966.383061405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+pronostico!Q19*50%</f>
        <v>20768.254588082164</v>
      </c>
      <c r="G20" s="137">
        <f t="shared" si="13"/>
        <v>74558033.971214965</v>
      </c>
      <c r="H20" s="138">
        <f t="shared" si="13"/>
        <v>29823213.588485986</v>
      </c>
      <c r="I20" s="137">
        <f t="shared" si="14"/>
        <v>10384.127294041082</v>
      </c>
      <c r="J20" s="139">
        <f t="shared" si="15"/>
        <v>6230.4763764246491</v>
      </c>
      <c r="K20" s="167">
        <f t="shared" si="0"/>
        <v>2076.8254588082164</v>
      </c>
      <c r="L20" s="168">
        <f>+F20*10%</f>
        <v>2076.8254588082164</v>
      </c>
      <c r="M20" s="169">
        <f>+pronostico!Q19*20%</f>
        <v>8307.3018352328654</v>
      </c>
      <c r="N20" s="170">
        <f t="shared" si="2"/>
        <v>29823213.588485986</v>
      </c>
      <c r="O20" s="171">
        <f t="shared" si="3"/>
        <v>11929285.435394395</v>
      </c>
      <c r="P20" s="170">
        <f t="shared" si="16"/>
        <v>4153.6509176164327</v>
      </c>
      <c r="Q20" s="172">
        <f t="shared" si="17"/>
        <v>4153.6509176164327</v>
      </c>
      <c r="R20" s="173">
        <f>+pronostico!Q19*8%</f>
        <v>3322.9207340931462</v>
      </c>
      <c r="S20" s="174">
        <f t="shared" si="4"/>
        <v>11929285.435394395</v>
      </c>
      <c r="T20" s="175">
        <f t="shared" si="5"/>
        <v>4771714.1741577582</v>
      </c>
      <c r="U20" s="173">
        <f>+pronostico!Q19*8%</f>
        <v>3322.9207340931462</v>
      </c>
      <c r="V20" s="176">
        <f t="shared" si="6"/>
        <v>11929285.435394395</v>
      </c>
      <c r="W20" s="177">
        <f t="shared" si="7"/>
        <v>4771714.1741577582</v>
      </c>
      <c r="X20" s="173">
        <f>+pronostico!Q19*2%</f>
        <v>830.73018352328654</v>
      </c>
      <c r="Y20" s="178">
        <f t="shared" si="8"/>
        <v>2982321.3588485988</v>
      </c>
      <c r="Z20" s="178">
        <f t="shared" si="9"/>
        <v>1192928.5435394396</v>
      </c>
      <c r="AA20" s="173">
        <f>+pronostico!Q19*2%</f>
        <v>830.73018352328654</v>
      </c>
      <c r="AB20" s="179">
        <f t="shared" si="10"/>
        <v>2982321.3588485988</v>
      </c>
      <c r="AC20" s="180">
        <f t="shared" si="11"/>
        <v>1192928.5435394396</v>
      </c>
      <c r="AD20" s="173">
        <f>+pronostico!Q19*10%</f>
        <v>4153.6509176164327</v>
      </c>
      <c r="AE20" s="176">
        <f t="shared" si="18"/>
        <v>14911606.794242993</v>
      </c>
      <c r="AF20" s="177">
        <f t="shared" si="18"/>
        <v>5964642.7176971976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+pronostico!Q20*50%</f>
        <v>19802.289258403922</v>
      </c>
      <c r="G21" s="137">
        <f t="shared" si="13"/>
        <v>244162226.55612037</v>
      </c>
      <c r="H21" s="138">
        <f t="shared" si="13"/>
        <v>97664890.622448146</v>
      </c>
      <c r="I21" s="137">
        <f>+F21*60%</f>
        <v>11881.373555042353</v>
      </c>
      <c r="J21" s="139">
        <f t="shared" si="15"/>
        <v>5940.6867775211767</v>
      </c>
      <c r="K21" s="167">
        <f t="shared" si="0"/>
        <v>1980.2289258403923</v>
      </c>
      <c r="L21" s="168" t="s">
        <v>21</v>
      </c>
      <c r="M21" s="169">
        <f>+pronostico!Q20*20%</f>
        <v>7920.9157033615693</v>
      </c>
      <c r="N21" s="170">
        <f t="shared" si="2"/>
        <v>97664890.622448146</v>
      </c>
      <c r="O21" s="171">
        <f t="shared" si="3"/>
        <v>39065956.248979263</v>
      </c>
      <c r="P21" s="170">
        <f t="shared" si="16"/>
        <v>3960.4578516807846</v>
      </c>
      <c r="Q21" s="172">
        <f t="shared" si="17"/>
        <v>3960.4578516807846</v>
      </c>
      <c r="R21" s="173">
        <f>+pronostico!Q20*8%</f>
        <v>3168.3662813446276</v>
      </c>
      <c r="S21" s="174">
        <f t="shared" si="4"/>
        <v>39065956.248979256</v>
      </c>
      <c r="T21" s="175">
        <f t="shared" si="5"/>
        <v>15626382.499591703</v>
      </c>
      <c r="U21" s="173">
        <f>+pronostico!Q20*8%</f>
        <v>3168.3662813446276</v>
      </c>
      <c r="V21" s="176">
        <f t="shared" si="6"/>
        <v>39065956.248979256</v>
      </c>
      <c r="W21" s="177">
        <f t="shared" si="7"/>
        <v>15626382.499591703</v>
      </c>
      <c r="X21" s="173">
        <f>+pronostico!Q20*2%</f>
        <v>792.09157033615691</v>
      </c>
      <c r="Y21" s="178">
        <f t="shared" si="8"/>
        <v>9766489.0622448139</v>
      </c>
      <c r="Z21" s="178">
        <f t="shared" si="9"/>
        <v>3906595.6248979256</v>
      </c>
      <c r="AA21" s="173">
        <f>+pronostico!Q20*2%</f>
        <v>792.09157033615691</v>
      </c>
      <c r="AB21" s="179">
        <f t="shared" si="10"/>
        <v>9766489.0622448139</v>
      </c>
      <c r="AC21" s="180">
        <f t="shared" si="11"/>
        <v>3906595.6248979256</v>
      </c>
      <c r="AD21" s="173">
        <f>+pronostico!Q20*10%</f>
        <v>3960.4578516807846</v>
      </c>
      <c r="AE21" s="176">
        <f t="shared" ref="AE21:AF36" si="20">+AD21*D21</f>
        <v>48832445.311224073</v>
      </c>
      <c r="AF21" s="177">
        <f t="shared" si="20"/>
        <v>19532978.124489632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+pronostico!Q21*50%</f>
        <v>17363.226800966368</v>
      </c>
      <c r="G22" s="137">
        <f t="shared" si="13"/>
        <v>129876936.47122844</v>
      </c>
      <c r="H22" s="138">
        <f t="shared" si="13"/>
        <v>51950774.58849138</v>
      </c>
      <c r="I22" s="137">
        <f t="shared" ref="I22:I51" si="21">+F22*60%</f>
        <v>10417.936080579821</v>
      </c>
      <c r="J22" s="139">
        <f t="shared" si="15"/>
        <v>5208.9680402899103</v>
      </c>
      <c r="K22" s="167">
        <f t="shared" si="0"/>
        <v>1736.3226800966368</v>
      </c>
      <c r="L22" s="168" t="s">
        <v>21</v>
      </c>
      <c r="M22" s="169">
        <f>+pronostico!Q21*20%</f>
        <v>6945.290720386547</v>
      </c>
      <c r="N22" s="170">
        <f t="shared" si="2"/>
        <v>51950774.588491373</v>
      </c>
      <c r="O22" s="171">
        <f t="shared" si="3"/>
        <v>20780309.835396551</v>
      </c>
      <c r="P22" s="170">
        <f t="shared" si="16"/>
        <v>3472.6453601932735</v>
      </c>
      <c r="Q22" s="172">
        <f t="shared" si="17"/>
        <v>3472.6453601932735</v>
      </c>
      <c r="R22" s="173">
        <f>+pronostico!Q21*8%</f>
        <v>2778.1162881546188</v>
      </c>
      <c r="S22" s="174">
        <f t="shared" si="4"/>
        <v>20780309.835396551</v>
      </c>
      <c r="T22" s="175">
        <f t="shared" si="5"/>
        <v>8312123.9341586204</v>
      </c>
      <c r="U22" s="173">
        <f>+pronostico!Q21*8%</f>
        <v>2778.1162881546188</v>
      </c>
      <c r="V22" s="176">
        <f t="shared" si="6"/>
        <v>20780309.835396551</v>
      </c>
      <c r="W22" s="177">
        <f t="shared" si="7"/>
        <v>8312123.9341586204</v>
      </c>
      <c r="X22" s="173">
        <f>+pronostico!Q21*2%</f>
        <v>694.5290720386547</v>
      </c>
      <c r="Y22" s="178">
        <f t="shared" si="8"/>
        <v>5195077.4588491376</v>
      </c>
      <c r="Z22" s="178">
        <f t="shared" si="9"/>
        <v>2078030.9835396551</v>
      </c>
      <c r="AA22" s="173">
        <f>+pronostico!Q21*2%</f>
        <v>694.5290720386547</v>
      </c>
      <c r="AB22" s="179">
        <f t="shared" si="10"/>
        <v>5195077.4588491376</v>
      </c>
      <c r="AC22" s="180">
        <f t="shared" si="11"/>
        <v>2078030.9835396551</v>
      </c>
      <c r="AD22" s="173">
        <f>+pronostico!Q21*10%</f>
        <v>3472.6453601932735</v>
      </c>
      <c r="AE22" s="176">
        <f t="shared" si="20"/>
        <v>25975387.294245686</v>
      </c>
      <c r="AF22" s="177">
        <f t="shared" si="20"/>
        <v>10390154.917698275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+pronostico!Q22*50%</f>
        <v>11752.578177751921</v>
      </c>
      <c r="G23" s="137">
        <f t="shared" si="13"/>
        <v>48185570.528782874</v>
      </c>
      <c r="H23" s="138">
        <f t="shared" si="13"/>
        <v>19274228.21151315</v>
      </c>
      <c r="I23" s="137">
        <f t="shared" si="21"/>
        <v>7051.5469066511523</v>
      </c>
      <c r="J23" s="139">
        <f t="shared" si="15"/>
        <v>3525.7734533255762</v>
      </c>
      <c r="K23" s="167">
        <f t="shared" si="0"/>
        <v>1175.2578177751921</v>
      </c>
      <c r="L23" s="168" t="s">
        <v>21</v>
      </c>
      <c r="M23" s="169">
        <f>+pronostico!Q22*20%</f>
        <v>4701.0312711007682</v>
      </c>
      <c r="N23" s="170">
        <f t="shared" si="2"/>
        <v>19274228.21151315</v>
      </c>
      <c r="O23" s="171">
        <f t="shared" si="3"/>
        <v>7709691.2846052609</v>
      </c>
      <c r="P23" s="170">
        <f t="shared" si="16"/>
        <v>2350.5156355503841</v>
      </c>
      <c r="Q23" s="172">
        <f t="shared" si="17"/>
        <v>2350.5156355503841</v>
      </c>
      <c r="R23" s="173">
        <f>+pronostico!Q22*8%</f>
        <v>1880.4125084403074</v>
      </c>
      <c r="S23" s="174">
        <f t="shared" si="4"/>
        <v>7709691.28460526</v>
      </c>
      <c r="T23" s="175">
        <f t="shared" si="5"/>
        <v>3083876.513842104</v>
      </c>
      <c r="U23" s="173">
        <f>+pronostico!Q22*8%</f>
        <v>1880.4125084403074</v>
      </c>
      <c r="V23" s="176">
        <f t="shared" si="6"/>
        <v>7709691.28460526</v>
      </c>
      <c r="W23" s="177">
        <f t="shared" si="7"/>
        <v>3083876.513842104</v>
      </c>
      <c r="X23" s="173">
        <f>+pronostico!Q22*2%</f>
        <v>470.10312711007685</v>
      </c>
      <c r="Y23" s="178">
        <f t="shared" si="8"/>
        <v>1927422.821151315</v>
      </c>
      <c r="Z23" s="178">
        <f t="shared" si="9"/>
        <v>770969.128460526</v>
      </c>
      <c r="AA23" s="173">
        <f>+pronostico!Q22*2%</f>
        <v>470.10312711007685</v>
      </c>
      <c r="AB23" s="179">
        <f t="shared" si="10"/>
        <v>1927422.821151315</v>
      </c>
      <c r="AC23" s="180">
        <f t="shared" si="11"/>
        <v>770969.128460526</v>
      </c>
      <c r="AD23" s="173">
        <f>+pronostico!Q22*10%</f>
        <v>2350.5156355503841</v>
      </c>
      <c r="AE23" s="176">
        <f t="shared" si="20"/>
        <v>9637114.1057565752</v>
      </c>
      <c r="AF23" s="177">
        <f t="shared" si="20"/>
        <v>3854845.6423026305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+pronostico!Q23*50%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+pronostico!Q23*20%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+pronostico!Q23*8%</f>
        <v>2000</v>
      </c>
      <c r="S24" s="174">
        <f t="shared" si="4"/>
        <v>6600000</v>
      </c>
      <c r="T24" s="175">
        <f t="shared" si="5"/>
        <v>3300000</v>
      </c>
      <c r="U24" s="173">
        <f>+pronostico!Q23*8%</f>
        <v>2000</v>
      </c>
      <c r="V24" s="176">
        <f t="shared" si="6"/>
        <v>6600000</v>
      </c>
      <c r="W24" s="177">
        <f t="shared" si="7"/>
        <v>3300000</v>
      </c>
      <c r="X24" s="173">
        <f>+pronostico!Q23*2%</f>
        <v>500</v>
      </c>
      <c r="Y24" s="178">
        <f t="shared" si="8"/>
        <v>1650000</v>
      </c>
      <c r="Z24" s="178">
        <f t="shared" si="9"/>
        <v>825000</v>
      </c>
      <c r="AA24" s="173">
        <f>+pronostico!Q23*2%</f>
        <v>500</v>
      </c>
      <c r="AB24" s="179">
        <f t="shared" si="10"/>
        <v>1650000</v>
      </c>
      <c r="AC24" s="180">
        <f t="shared" si="11"/>
        <v>825000</v>
      </c>
      <c r="AD24" s="173">
        <f>+pronostico!Q23*10%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+pronostico!Q24*50%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+pronostico!Q24*20%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+pronostico!Q24*8%</f>
        <v>2400</v>
      </c>
      <c r="S25" s="174">
        <f t="shared" si="4"/>
        <v>7200000</v>
      </c>
      <c r="T25" s="175">
        <f t="shared" si="5"/>
        <v>3600000</v>
      </c>
      <c r="U25" s="173">
        <f>+pronostico!Q24*8%</f>
        <v>2400</v>
      </c>
      <c r="V25" s="176">
        <f t="shared" si="6"/>
        <v>7200000</v>
      </c>
      <c r="W25" s="177">
        <f t="shared" si="7"/>
        <v>3600000</v>
      </c>
      <c r="X25" s="173">
        <f>+pronostico!Q24*2%</f>
        <v>600</v>
      </c>
      <c r="Y25" s="178">
        <f t="shared" si="8"/>
        <v>1800000</v>
      </c>
      <c r="Z25" s="178">
        <f t="shared" si="9"/>
        <v>900000</v>
      </c>
      <c r="AA25" s="173">
        <f>+pronostico!Q24*2%</f>
        <v>600</v>
      </c>
      <c r="AB25" s="179">
        <f t="shared" si="10"/>
        <v>1800000</v>
      </c>
      <c r="AC25" s="180">
        <f t="shared" si="11"/>
        <v>900000</v>
      </c>
      <c r="AD25" s="173">
        <f>+pronostico!Q24*10%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+pronostico!Q25*50%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+pronostico!Q25*20%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+pronostico!Q25*8%</f>
        <v>3200</v>
      </c>
      <c r="S26" s="174">
        <f t="shared" si="4"/>
        <v>12160000</v>
      </c>
      <c r="T26" s="175">
        <f t="shared" si="5"/>
        <v>4864000</v>
      </c>
      <c r="U26" s="173">
        <f>+pronostico!Q25*8%</f>
        <v>3200</v>
      </c>
      <c r="V26" s="176">
        <f t="shared" si="6"/>
        <v>12160000</v>
      </c>
      <c r="W26" s="177">
        <f t="shared" si="7"/>
        <v>4864000</v>
      </c>
      <c r="X26" s="173">
        <f>+pronostico!Q25*2%</f>
        <v>800</v>
      </c>
      <c r="Y26" s="178">
        <f t="shared" si="8"/>
        <v>3040000</v>
      </c>
      <c r="Z26" s="178">
        <f t="shared" si="9"/>
        <v>1216000</v>
      </c>
      <c r="AA26" s="173">
        <f>+pronostico!Q25*2%</f>
        <v>800</v>
      </c>
      <c r="AB26" s="179">
        <f t="shared" si="10"/>
        <v>3040000</v>
      </c>
      <c r="AC26" s="180">
        <f t="shared" si="11"/>
        <v>1216000</v>
      </c>
      <c r="AD26" s="173">
        <f>+pronostico!Q25*10%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+pronostico!Q26*50%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+pronostico!Q26*20%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+pronostico!Q26*8%</f>
        <v>4800</v>
      </c>
      <c r="S27" s="174">
        <f t="shared" si="4"/>
        <v>11040000</v>
      </c>
      <c r="T27" s="175">
        <f t="shared" si="5"/>
        <v>5520000</v>
      </c>
      <c r="U27" s="173">
        <f>+pronostico!Q26*8%</f>
        <v>4800</v>
      </c>
      <c r="V27" s="176">
        <f t="shared" si="6"/>
        <v>11040000</v>
      </c>
      <c r="W27" s="177">
        <f t="shared" si="7"/>
        <v>5520000</v>
      </c>
      <c r="X27" s="173">
        <f>+pronostico!Q26*2%</f>
        <v>1200</v>
      </c>
      <c r="Y27" s="178">
        <f t="shared" si="8"/>
        <v>2760000</v>
      </c>
      <c r="Z27" s="178">
        <f t="shared" si="9"/>
        <v>1380000</v>
      </c>
      <c r="AA27" s="173">
        <f>+pronostico!Q26*2%</f>
        <v>1200</v>
      </c>
      <c r="AB27" s="179">
        <f t="shared" si="10"/>
        <v>2760000</v>
      </c>
      <c r="AC27" s="180">
        <f t="shared" si="11"/>
        <v>1380000</v>
      </c>
      <c r="AD27" s="173">
        <f>+pronostico!Q26*10%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+pronostico!Q27*50%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+pronostico!Q27*20%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+pronostico!Q27*8%</f>
        <v>2400</v>
      </c>
      <c r="S28" s="174">
        <f t="shared" si="4"/>
        <v>9360000</v>
      </c>
      <c r="T28" s="175">
        <f t="shared" si="5"/>
        <v>3744000</v>
      </c>
      <c r="U28" s="173">
        <f>+pronostico!Q27*8%</f>
        <v>2400</v>
      </c>
      <c r="V28" s="176">
        <f t="shared" si="6"/>
        <v>9360000</v>
      </c>
      <c r="W28" s="177">
        <f t="shared" si="7"/>
        <v>3744000</v>
      </c>
      <c r="X28" s="173">
        <f>+pronostico!Q27*2%</f>
        <v>600</v>
      </c>
      <c r="Y28" s="178">
        <f t="shared" si="8"/>
        <v>2340000</v>
      </c>
      <c r="Z28" s="178">
        <f t="shared" si="9"/>
        <v>936000</v>
      </c>
      <c r="AA28" s="173">
        <f>+pronostico!Q27*2%</f>
        <v>600</v>
      </c>
      <c r="AB28" s="179">
        <f t="shared" si="10"/>
        <v>2340000</v>
      </c>
      <c r="AC28" s="180">
        <f t="shared" si="11"/>
        <v>936000</v>
      </c>
      <c r="AD28" s="173">
        <f>+pronostico!Q27*10%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+pronostico!Q28*50%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+pronostico!Q28*20%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+pronostico!Q28*8%</f>
        <v>5200</v>
      </c>
      <c r="S29" s="174">
        <f t="shared" si="4"/>
        <v>15600000</v>
      </c>
      <c r="T29" s="175">
        <f t="shared" si="5"/>
        <v>7800000</v>
      </c>
      <c r="U29" s="173">
        <f>+pronostico!Q28*8%</f>
        <v>5200</v>
      </c>
      <c r="V29" s="176">
        <f t="shared" si="6"/>
        <v>15600000</v>
      </c>
      <c r="W29" s="177">
        <f t="shared" si="7"/>
        <v>7800000</v>
      </c>
      <c r="X29" s="173">
        <f>+pronostico!Q28*2%</f>
        <v>1300</v>
      </c>
      <c r="Y29" s="178">
        <f t="shared" si="8"/>
        <v>3900000</v>
      </c>
      <c r="Z29" s="178">
        <f t="shared" si="9"/>
        <v>1950000</v>
      </c>
      <c r="AA29" s="173">
        <f>+pronostico!Q28*2%</f>
        <v>1300</v>
      </c>
      <c r="AB29" s="179">
        <f t="shared" si="10"/>
        <v>3900000</v>
      </c>
      <c r="AC29" s="180">
        <f t="shared" si="11"/>
        <v>1950000</v>
      </c>
      <c r="AD29" s="173">
        <f>+pronostico!Q28*10%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+pronostico!Q29*50%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+pronostico!Q29*20%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+pronostico!Q29*8%</f>
        <v>2000</v>
      </c>
      <c r="S30" s="174">
        <f t="shared" si="4"/>
        <v>8200000</v>
      </c>
      <c r="T30" s="175">
        <f t="shared" si="5"/>
        <v>3280000</v>
      </c>
      <c r="U30" s="173">
        <f>+pronostico!Q29*8%</f>
        <v>2000</v>
      </c>
      <c r="V30" s="176">
        <f t="shared" si="6"/>
        <v>8200000</v>
      </c>
      <c r="W30" s="177">
        <f t="shared" si="7"/>
        <v>3280000</v>
      </c>
      <c r="X30" s="173">
        <f>+pronostico!Q29*2%</f>
        <v>500</v>
      </c>
      <c r="Y30" s="178">
        <f t="shared" si="8"/>
        <v>2050000</v>
      </c>
      <c r="Z30" s="178">
        <f t="shared" si="9"/>
        <v>820000</v>
      </c>
      <c r="AA30" s="173">
        <f>+pronostico!Q29*2%</f>
        <v>500</v>
      </c>
      <c r="AB30" s="179">
        <f t="shared" si="10"/>
        <v>2050000</v>
      </c>
      <c r="AC30" s="180">
        <f t="shared" si="11"/>
        <v>820000</v>
      </c>
      <c r="AD30" s="173">
        <f>+pronostico!Q29*10%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+pronostico!Q30*50%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+pronostico!Q30*20%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+pronostico!Q30*8%</f>
        <v>2000</v>
      </c>
      <c r="S31" s="174">
        <f t="shared" si="4"/>
        <v>4700000</v>
      </c>
      <c r="T31" s="175">
        <f t="shared" si="5"/>
        <v>2350000</v>
      </c>
      <c r="U31" s="173">
        <f>+pronostico!Q30*8%</f>
        <v>2000</v>
      </c>
      <c r="V31" s="176">
        <f t="shared" si="6"/>
        <v>4700000</v>
      </c>
      <c r="W31" s="177">
        <f t="shared" si="7"/>
        <v>2350000</v>
      </c>
      <c r="X31" s="173">
        <f>+pronostico!Q30*2%</f>
        <v>500</v>
      </c>
      <c r="Y31" s="178">
        <f t="shared" si="8"/>
        <v>1175000</v>
      </c>
      <c r="Z31" s="178">
        <f t="shared" si="9"/>
        <v>587500</v>
      </c>
      <c r="AA31" s="173">
        <f>+pronostico!Q30*2%</f>
        <v>500</v>
      </c>
      <c r="AB31" s="179">
        <f t="shared" si="10"/>
        <v>1175000</v>
      </c>
      <c r="AC31" s="180">
        <f t="shared" si="11"/>
        <v>587500</v>
      </c>
      <c r="AD31" s="173">
        <f>+pronostico!Q30*10%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+pronostico!Q31*50%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+pronostico!Q31*20%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+pronostico!Q31*8%</f>
        <v>1600</v>
      </c>
      <c r="S32" s="174">
        <f t="shared" si="4"/>
        <v>4800000</v>
      </c>
      <c r="T32" s="175">
        <f t="shared" si="5"/>
        <v>2400000</v>
      </c>
      <c r="U32" s="173">
        <f>+pronostico!Q31*8%</f>
        <v>1600</v>
      </c>
      <c r="V32" s="176">
        <f t="shared" si="6"/>
        <v>4800000</v>
      </c>
      <c r="W32" s="177">
        <f t="shared" si="7"/>
        <v>2400000</v>
      </c>
      <c r="X32" s="173">
        <f>+pronostico!Q31*2%</f>
        <v>400</v>
      </c>
      <c r="Y32" s="178">
        <f t="shared" si="8"/>
        <v>1200000</v>
      </c>
      <c r="Z32" s="178">
        <f t="shared" si="9"/>
        <v>600000</v>
      </c>
      <c r="AA32" s="173">
        <f>+pronostico!Q31*2%</f>
        <v>400</v>
      </c>
      <c r="AB32" s="179">
        <f t="shared" si="10"/>
        <v>1200000</v>
      </c>
      <c r="AC32" s="180">
        <f t="shared" si="11"/>
        <v>600000</v>
      </c>
      <c r="AD32" s="173">
        <f>+pronostico!Q31*10%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+pronostico!Q32*50%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+pronostico!Q32*20%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+pronostico!Q32*8%</f>
        <v>1200</v>
      </c>
      <c r="S33" s="174">
        <f t="shared" si="4"/>
        <v>2760000</v>
      </c>
      <c r="T33" s="175">
        <f t="shared" si="5"/>
        <v>1380000</v>
      </c>
      <c r="U33" s="173">
        <f>+pronostico!Q32*8%</f>
        <v>1200</v>
      </c>
      <c r="V33" s="176">
        <f t="shared" si="6"/>
        <v>2760000</v>
      </c>
      <c r="W33" s="177">
        <f t="shared" si="7"/>
        <v>1380000</v>
      </c>
      <c r="X33" s="173">
        <f>+pronostico!Q32*2%</f>
        <v>300</v>
      </c>
      <c r="Y33" s="178">
        <f t="shared" si="8"/>
        <v>690000</v>
      </c>
      <c r="Z33" s="178">
        <f t="shared" si="9"/>
        <v>345000</v>
      </c>
      <c r="AA33" s="173">
        <f>+pronostico!Q32*2%</f>
        <v>300</v>
      </c>
      <c r="AB33" s="179">
        <f t="shared" si="10"/>
        <v>690000</v>
      </c>
      <c r="AC33" s="180">
        <f t="shared" si="11"/>
        <v>345000</v>
      </c>
      <c r="AD33" s="173">
        <f>+pronostico!Q32*10%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+pronostico!Q33*50%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+pronostico!Q33*20%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+pronostico!Q33*8%</f>
        <v>1600</v>
      </c>
      <c r="S34" s="174">
        <f t="shared" si="4"/>
        <v>6080000</v>
      </c>
      <c r="T34" s="175">
        <f t="shared" si="5"/>
        <v>2432000</v>
      </c>
      <c r="U34" s="173">
        <f>+pronostico!Q33*8%</f>
        <v>1600</v>
      </c>
      <c r="V34" s="176">
        <f t="shared" si="6"/>
        <v>6080000</v>
      </c>
      <c r="W34" s="177">
        <f t="shared" si="7"/>
        <v>2432000</v>
      </c>
      <c r="X34" s="173">
        <f>+pronostico!Q33*2%</f>
        <v>400</v>
      </c>
      <c r="Y34" s="178">
        <f t="shared" si="8"/>
        <v>1520000</v>
      </c>
      <c r="Z34" s="178">
        <f t="shared" si="9"/>
        <v>608000</v>
      </c>
      <c r="AA34" s="173">
        <f>+pronostico!Q33*2%</f>
        <v>400</v>
      </c>
      <c r="AB34" s="179">
        <f t="shared" si="10"/>
        <v>1520000</v>
      </c>
      <c r="AC34" s="180">
        <f t="shared" si="11"/>
        <v>608000</v>
      </c>
      <c r="AD34" s="173">
        <f>+pronostico!Q33*10%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+pronostico!Q34*50%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+pronostico!Q34*20%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+pronostico!Q34*8%</f>
        <v>1600</v>
      </c>
      <c r="S35" s="174">
        <f t="shared" si="4"/>
        <v>6400000</v>
      </c>
      <c r="T35" s="175">
        <f t="shared" si="5"/>
        <v>2560000</v>
      </c>
      <c r="U35" s="173">
        <f>+pronostico!Q34*8%</f>
        <v>1600</v>
      </c>
      <c r="V35" s="176">
        <f t="shared" si="6"/>
        <v>6400000</v>
      </c>
      <c r="W35" s="177">
        <f t="shared" si="7"/>
        <v>2560000</v>
      </c>
      <c r="X35" s="173">
        <f>+pronostico!Q34*2%</f>
        <v>400</v>
      </c>
      <c r="Y35" s="178">
        <f t="shared" si="8"/>
        <v>1600000</v>
      </c>
      <c r="Z35" s="178">
        <f t="shared" si="9"/>
        <v>640000</v>
      </c>
      <c r="AA35" s="173">
        <f>+pronostico!Q34*2%</f>
        <v>400</v>
      </c>
      <c r="AB35" s="179">
        <f t="shared" si="10"/>
        <v>1600000</v>
      </c>
      <c r="AC35" s="180">
        <f t="shared" si="11"/>
        <v>640000</v>
      </c>
      <c r="AD35" s="173">
        <f>+pronostico!Q34*10%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+pronostico!Q35*50%</f>
        <v>204301.5</v>
      </c>
      <c r="G36" s="137">
        <f t="shared" si="13"/>
        <v>390215865</v>
      </c>
      <c r="H36" s="138">
        <f t="shared" si="13"/>
        <v>195107932.5</v>
      </c>
      <c r="I36" s="137">
        <f t="shared" si="21"/>
        <v>122580.9</v>
      </c>
      <c r="J36" s="139">
        <f t="shared" si="15"/>
        <v>61290.45</v>
      </c>
      <c r="K36" s="167">
        <f t="shared" si="0"/>
        <v>20430.150000000001</v>
      </c>
      <c r="L36" s="168" t="s">
        <v>21</v>
      </c>
      <c r="M36" s="169">
        <f>+pronostico!Q35*20%</f>
        <v>81720.600000000006</v>
      </c>
      <c r="N36" s="170">
        <f t="shared" si="2"/>
        <v>156086346</v>
      </c>
      <c r="O36" s="171">
        <f t="shared" si="3"/>
        <v>78043173</v>
      </c>
      <c r="P36" s="170">
        <f t="shared" si="16"/>
        <v>40860.300000000003</v>
      </c>
      <c r="Q36" s="172">
        <f t="shared" si="17"/>
        <v>40860.300000000003</v>
      </c>
      <c r="R36" s="173">
        <f>+pronostico!Q35*8%</f>
        <v>32688.240000000002</v>
      </c>
      <c r="S36" s="174">
        <f t="shared" si="4"/>
        <v>62434538.400000006</v>
      </c>
      <c r="T36" s="175">
        <f t="shared" si="5"/>
        <v>31217269.200000003</v>
      </c>
      <c r="U36" s="173">
        <f>+pronostico!Q35*8%</f>
        <v>32688.240000000002</v>
      </c>
      <c r="V36" s="176">
        <v>0</v>
      </c>
      <c r="W36" s="177">
        <f t="shared" ref="W36:W51" si="22">V36*E36</f>
        <v>0</v>
      </c>
      <c r="X36" s="173">
        <f>+pronostico!Q35*2%</f>
        <v>8172.06</v>
      </c>
      <c r="Y36" s="178">
        <f t="shared" si="8"/>
        <v>15608634.600000001</v>
      </c>
      <c r="Z36" s="178">
        <f t="shared" si="9"/>
        <v>7804317.3000000007</v>
      </c>
      <c r="AA36" s="173">
        <f>+pronostico!Q35*2%</f>
        <v>8172.06</v>
      </c>
      <c r="AB36" s="179">
        <f t="shared" si="10"/>
        <v>15608634.600000001</v>
      </c>
      <c r="AC36" s="180">
        <f t="shared" si="11"/>
        <v>7804317.3000000007</v>
      </c>
      <c r="AD36" s="173">
        <f>+pronostico!Q35*10%</f>
        <v>40860.300000000003</v>
      </c>
      <c r="AE36" s="176">
        <f t="shared" si="20"/>
        <v>78043173</v>
      </c>
      <c r="AF36" s="177">
        <f t="shared" si="20"/>
        <v>39021586.5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+pronostico!Q36*50%</f>
        <v>190609</v>
      </c>
      <c r="G37" s="137">
        <f t="shared" si="13"/>
        <v>413621530</v>
      </c>
      <c r="H37" s="138">
        <f t="shared" si="13"/>
        <v>206810765</v>
      </c>
      <c r="I37" s="137">
        <f t="shared" si="21"/>
        <v>114365.4</v>
      </c>
      <c r="J37" s="139">
        <f t="shared" si="15"/>
        <v>57182.7</v>
      </c>
      <c r="K37" s="167">
        <f t="shared" si="0"/>
        <v>19060.900000000001</v>
      </c>
      <c r="L37" s="168" t="s">
        <v>21</v>
      </c>
      <c r="M37" s="169">
        <f>+pronostico!Q36*20%</f>
        <v>76243.600000000006</v>
      </c>
      <c r="N37" s="170">
        <f t="shared" si="2"/>
        <v>165448612</v>
      </c>
      <c r="O37" s="171">
        <f t="shared" si="3"/>
        <v>82724306</v>
      </c>
      <c r="P37" s="170">
        <f t="shared" si="16"/>
        <v>38121.800000000003</v>
      </c>
      <c r="Q37" s="172">
        <f t="shared" si="17"/>
        <v>38121.800000000003</v>
      </c>
      <c r="R37" s="173">
        <f>+pronostico!Q36*8%</f>
        <v>30497.440000000002</v>
      </c>
      <c r="S37" s="174">
        <f t="shared" si="4"/>
        <v>66179444.800000004</v>
      </c>
      <c r="T37" s="175">
        <f t="shared" si="5"/>
        <v>33089722.400000002</v>
      </c>
      <c r="U37" s="173">
        <f>+pronostico!Q36*8%</f>
        <v>30497.440000000002</v>
      </c>
      <c r="V37" s="176">
        <v>0</v>
      </c>
      <c r="W37" s="177">
        <f t="shared" si="22"/>
        <v>0</v>
      </c>
      <c r="X37" s="173">
        <f>+pronostico!Q36*2%</f>
        <v>7624.3600000000006</v>
      </c>
      <c r="Y37" s="178">
        <f t="shared" si="8"/>
        <v>16544861.200000001</v>
      </c>
      <c r="Z37" s="178">
        <f t="shared" si="9"/>
        <v>8272430.6000000006</v>
      </c>
      <c r="AA37" s="173">
        <f>+pronostico!Q36*2%</f>
        <v>7624.3600000000006</v>
      </c>
      <c r="AB37" s="179">
        <f t="shared" si="10"/>
        <v>16544861.200000001</v>
      </c>
      <c r="AC37" s="180">
        <f t="shared" si="11"/>
        <v>8272430.6000000006</v>
      </c>
      <c r="AD37" s="173">
        <f>+pronostico!Q36*10%</f>
        <v>38121.800000000003</v>
      </c>
      <c r="AE37" s="176">
        <f t="shared" ref="AE37:AF51" si="23">+AD37*D37</f>
        <v>82724306</v>
      </c>
      <c r="AF37" s="177">
        <f t="shared" si="23"/>
        <v>41362153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+pronostico!Q37*50%</f>
        <v>152542</v>
      </c>
      <c r="G38" s="137">
        <f t="shared" si="13"/>
        <v>254745140</v>
      </c>
      <c r="H38" s="138">
        <f t="shared" si="13"/>
        <v>127372570</v>
      </c>
      <c r="I38" s="137">
        <f t="shared" si="21"/>
        <v>91525.2</v>
      </c>
      <c r="J38" s="139">
        <f t="shared" si="15"/>
        <v>45762.6</v>
      </c>
      <c r="K38" s="167">
        <f t="shared" si="0"/>
        <v>15254.2</v>
      </c>
      <c r="L38" s="168" t="s">
        <v>21</v>
      </c>
      <c r="M38" s="169">
        <f>+pronostico!Q37*20%</f>
        <v>61016.800000000003</v>
      </c>
      <c r="N38" s="170">
        <f t="shared" si="2"/>
        <v>101898056</v>
      </c>
      <c r="O38" s="171">
        <f t="shared" si="3"/>
        <v>50949028</v>
      </c>
      <c r="P38" s="170">
        <f t="shared" si="16"/>
        <v>30508.400000000001</v>
      </c>
      <c r="Q38" s="172">
        <f t="shared" si="17"/>
        <v>30508.400000000001</v>
      </c>
      <c r="R38" s="173">
        <f>+pronostico!Q37*8%</f>
        <v>24406.720000000001</v>
      </c>
      <c r="S38" s="174">
        <f t="shared" si="4"/>
        <v>40759222.399999999</v>
      </c>
      <c r="T38" s="175">
        <f t="shared" si="5"/>
        <v>20379611.199999999</v>
      </c>
      <c r="U38" s="173">
        <f>+pronostico!Q37*8%</f>
        <v>24406.720000000001</v>
      </c>
      <c r="V38" s="176">
        <v>0</v>
      </c>
      <c r="W38" s="177">
        <f t="shared" si="22"/>
        <v>0</v>
      </c>
      <c r="X38" s="173">
        <f>+pronostico!Q37*2%</f>
        <v>6101.68</v>
      </c>
      <c r="Y38" s="178">
        <f t="shared" si="8"/>
        <v>10189805.6</v>
      </c>
      <c r="Z38" s="178">
        <f t="shared" si="9"/>
        <v>5094902.8</v>
      </c>
      <c r="AA38" s="173">
        <f>+pronostico!Q37*2%</f>
        <v>6101.68</v>
      </c>
      <c r="AB38" s="179">
        <f t="shared" si="10"/>
        <v>10189805.6</v>
      </c>
      <c r="AC38" s="180">
        <f t="shared" si="11"/>
        <v>5094902.8</v>
      </c>
      <c r="AD38" s="173">
        <f>+pronostico!Q37*10%</f>
        <v>30508.400000000001</v>
      </c>
      <c r="AE38" s="176">
        <f t="shared" si="23"/>
        <v>50949028</v>
      </c>
      <c r="AF38" s="177">
        <f t="shared" si="23"/>
        <v>25474514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+pronostico!Q38*50%</f>
        <v>75345.5</v>
      </c>
      <c r="G39" s="137">
        <f t="shared" si="13"/>
        <v>76852410</v>
      </c>
      <c r="H39" s="138">
        <f t="shared" si="13"/>
        <v>38426205</v>
      </c>
      <c r="I39" s="137">
        <f t="shared" si="21"/>
        <v>45207.299999999996</v>
      </c>
      <c r="J39" s="139">
        <f t="shared" si="15"/>
        <v>22603.649999999998</v>
      </c>
      <c r="K39" s="167">
        <f t="shared" si="0"/>
        <v>7534.55</v>
      </c>
      <c r="L39" s="168" t="s">
        <v>21</v>
      </c>
      <c r="M39" s="169">
        <f>+pronostico!Q38*20%</f>
        <v>30138.2</v>
      </c>
      <c r="N39" s="170">
        <f t="shared" si="2"/>
        <v>30740964</v>
      </c>
      <c r="O39" s="171">
        <f t="shared" si="3"/>
        <v>15370482</v>
      </c>
      <c r="P39" s="170">
        <f t="shared" si="16"/>
        <v>15069.1</v>
      </c>
      <c r="Q39" s="172">
        <f t="shared" si="17"/>
        <v>15069.1</v>
      </c>
      <c r="R39" s="173">
        <f>+pronostico!Q38*8%</f>
        <v>12055.28</v>
      </c>
      <c r="S39" s="174">
        <f t="shared" si="4"/>
        <v>12296385.600000001</v>
      </c>
      <c r="T39" s="175">
        <f t="shared" si="5"/>
        <v>6148192.8000000007</v>
      </c>
      <c r="U39" s="173">
        <f>+pronostico!Q38*8%</f>
        <v>12055.28</v>
      </c>
      <c r="V39" s="176">
        <v>0</v>
      </c>
      <c r="W39" s="177">
        <f t="shared" si="22"/>
        <v>0</v>
      </c>
      <c r="X39" s="173">
        <f>+pronostico!Q38*2%</f>
        <v>3013.82</v>
      </c>
      <c r="Y39" s="178">
        <f t="shared" si="8"/>
        <v>3074096.4000000004</v>
      </c>
      <c r="Z39" s="178">
        <f t="shared" si="9"/>
        <v>1537048.2000000002</v>
      </c>
      <c r="AA39" s="173">
        <f>+pronostico!Q38*2%</f>
        <v>3013.82</v>
      </c>
      <c r="AB39" s="179">
        <f t="shared" si="10"/>
        <v>3074096.4000000004</v>
      </c>
      <c r="AC39" s="180">
        <f t="shared" si="11"/>
        <v>1537048.2000000002</v>
      </c>
      <c r="AD39" s="173">
        <f>+pronostico!Q38*10%</f>
        <v>15069.1</v>
      </c>
      <c r="AE39" s="176">
        <f t="shared" si="23"/>
        <v>15370482</v>
      </c>
      <c r="AF39" s="177">
        <f t="shared" si="23"/>
        <v>7685241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+pronostico!Q39*50%</f>
        <v>83346.5</v>
      </c>
      <c r="G40" s="137">
        <f t="shared" si="13"/>
        <v>119185495</v>
      </c>
      <c r="H40" s="138">
        <f t="shared" si="13"/>
        <v>59592747.5</v>
      </c>
      <c r="I40" s="137">
        <f t="shared" si="21"/>
        <v>50007.9</v>
      </c>
      <c r="J40" s="139">
        <f t="shared" si="15"/>
        <v>25003.95</v>
      </c>
      <c r="K40" s="167">
        <f t="shared" si="0"/>
        <v>8334.65</v>
      </c>
      <c r="L40" s="168" t="s">
        <v>21</v>
      </c>
      <c r="M40" s="169">
        <f>+pronostico!Q39*20%</f>
        <v>33338.6</v>
      </c>
      <c r="N40" s="170">
        <f t="shared" si="2"/>
        <v>47674198</v>
      </c>
      <c r="O40" s="171">
        <f t="shared" si="3"/>
        <v>23837099</v>
      </c>
      <c r="P40" s="170">
        <f t="shared" si="16"/>
        <v>16669.3</v>
      </c>
      <c r="Q40" s="172">
        <f t="shared" si="17"/>
        <v>16669.3</v>
      </c>
      <c r="R40" s="173">
        <f>+pronostico!Q39*8%</f>
        <v>13335.44</v>
      </c>
      <c r="S40" s="174">
        <f t="shared" si="4"/>
        <v>19069679.199999999</v>
      </c>
      <c r="T40" s="175">
        <f t="shared" si="5"/>
        <v>9534839.5999999996</v>
      </c>
      <c r="U40" s="173">
        <f>+pronostico!Q39*8%</f>
        <v>13335.44</v>
      </c>
      <c r="V40" s="176">
        <v>0</v>
      </c>
      <c r="W40" s="177">
        <f t="shared" si="22"/>
        <v>0</v>
      </c>
      <c r="X40" s="173">
        <f>+pronostico!Q39*2%</f>
        <v>3333.86</v>
      </c>
      <c r="Y40" s="178">
        <f t="shared" si="8"/>
        <v>4767419.8</v>
      </c>
      <c r="Z40" s="178">
        <f t="shared" si="9"/>
        <v>2383709.9</v>
      </c>
      <c r="AA40" s="173">
        <f>+pronostico!Q39*2%</f>
        <v>3333.86</v>
      </c>
      <c r="AB40" s="179">
        <f t="shared" si="10"/>
        <v>4767419.8</v>
      </c>
      <c r="AC40" s="180">
        <f t="shared" si="11"/>
        <v>2383709.9</v>
      </c>
      <c r="AD40" s="173">
        <f>+pronostico!Q39*10%</f>
        <v>16669.3</v>
      </c>
      <c r="AE40" s="176">
        <f t="shared" si="23"/>
        <v>23837099</v>
      </c>
      <c r="AF40" s="177">
        <f t="shared" si="23"/>
        <v>11918549.5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+pronostico!Q40*50%</f>
        <v>69412.5</v>
      </c>
      <c r="G41" s="137">
        <f t="shared" si="13"/>
        <v>920409750</v>
      </c>
      <c r="H41" s="138">
        <f t="shared" si="13"/>
        <v>368163900</v>
      </c>
      <c r="I41" s="137">
        <f t="shared" si="21"/>
        <v>41647.5</v>
      </c>
      <c r="J41" s="139">
        <f t="shared" si="15"/>
        <v>20823.75</v>
      </c>
      <c r="K41" s="167">
        <f t="shared" si="0"/>
        <v>6941.25</v>
      </c>
      <c r="L41" s="168" t="s">
        <v>21</v>
      </c>
      <c r="M41" s="169">
        <f>+pronostico!Q40*20%</f>
        <v>27765</v>
      </c>
      <c r="N41" s="170">
        <f t="shared" si="2"/>
        <v>368163900</v>
      </c>
      <c r="O41" s="171">
        <f t="shared" si="3"/>
        <v>147265560</v>
      </c>
      <c r="P41" s="170">
        <f t="shared" si="16"/>
        <v>13882.5</v>
      </c>
      <c r="Q41" s="172">
        <f t="shared" si="17"/>
        <v>13882.5</v>
      </c>
      <c r="R41" s="173">
        <f>+pronostico!Q40*8%</f>
        <v>11106</v>
      </c>
      <c r="S41" s="174">
        <f t="shared" si="4"/>
        <v>147265560</v>
      </c>
      <c r="T41" s="175">
        <f t="shared" si="5"/>
        <v>58906224</v>
      </c>
      <c r="U41" s="173">
        <f>+pronostico!Q40*8%</f>
        <v>11106</v>
      </c>
      <c r="V41" s="176">
        <v>0</v>
      </c>
      <c r="W41" s="177">
        <f t="shared" si="22"/>
        <v>0</v>
      </c>
      <c r="X41" s="173">
        <f>+pronostico!Q40*2%</f>
        <v>2776.5</v>
      </c>
      <c r="Y41" s="178">
        <f t="shared" si="8"/>
        <v>36816390</v>
      </c>
      <c r="Z41" s="178">
        <f t="shared" si="9"/>
        <v>14726556</v>
      </c>
      <c r="AA41" s="173">
        <f>+pronostico!Q40*2%</f>
        <v>2776.5</v>
      </c>
      <c r="AB41" s="179">
        <f t="shared" si="10"/>
        <v>36816390</v>
      </c>
      <c r="AC41" s="180">
        <f t="shared" si="11"/>
        <v>14726556</v>
      </c>
      <c r="AD41" s="173">
        <f>+pronostico!Q40*10%</f>
        <v>13882.5</v>
      </c>
      <c r="AE41" s="176">
        <f t="shared" si="23"/>
        <v>184081950</v>
      </c>
      <c r="AF41" s="177">
        <f t="shared" si="23"/>
        <v>73632780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+pronostico!Q41*50%</f>
        <v>38558</v>
      </c>
      <c r="G42" s="137">
        <f t="shared" si="13"/>
        <v>109504720</v>
      </c>
      <c r="H42" s="138">
        <f t="shared" si="13"/>
        <v>54752360</v>
      </c>
      <c r="I42" s="137">
        <f t="shared" si="21"/>
        <v>23134.799999999999</v>
      </c>
      <c r="J42" s="139">
        <f t="shared" si="15"/>
        <v>11567.4</v>
      </c>
      <c r="K42" s="167">
        <f t="shared" si="0"/>
        <v>3855.8</v>
      </c>
      <c r="L42" s="168" t="s">
        <v>21</v>
      </c>
      <c r="M42" s="169">
        <f>+pronostico!Q41*20%</f>
        <v>15423.2</v>
      </c>
      <c r="N42" s="170">
        <f t="shared" si="2"/>
        <v>43801888</v>
      </c>
      <c r="O42" s="171">
        <f t="shared" si="3"/>
        <v>21900944</v>
      </c>
      <c r="P42" s="170">
        <f t="shared" si="16"/>
        <v>7711.6</v>
      </c>
      <c r="Q42" s="172">
        <f t="shared" si="17"/>
        <v>7711.6</v>
      </c>
      <c r="R42" s="173">
        <f>+pronostico!Q41*8%</f>
        <v>6169.28</v>
      </c>
      <c r="S42" s="174">
        <f t="shared" si="4"/>
        <v>17520755.199999999</v>
      </c>
      <c r="T42" s="175">
        <f t="shared" si="5"/>
        <v>8760377.5999999996</v>
      </c>
      <c r="U42" s="173">
        <f>+pronostico!Q41*8%</f>
        <v>6169.28</v>
      </c>
      <c r="V42" s="176">
        <v>0</v>
      </c>
      <c r="W42" s="177">
        <f t="shared" si="22"/>
        <v>0</v>
      </c>
      <c r="X42" s="173">
        <f>+pronostico!Q41*2%</f>
        <v>1542.32</v>
      </c>
      <c r="Y42" s="178">
        <f t="shared" si="8"/>
        <v>4380188.8</v>
      </c>
      <c r="Z42" s="178">
        <f t="shared" si="9"/>
        <v>2190094.4</v>
      </c>
      <c r="AA42" s="173">
        <f>+pronostico!Q41*2%</f>
        <v>1542.32</v>
      </c>
      <c r="AB42" s="179">
        <f t="shared" si="10"/>
        <v>4380188.8</v>
      </c>
      <c r="AC42" s="180">
        <f t="shared" si="11"/>
        <v>2190094.4</v>
      </c>
      <c r="AD42" s="173">
        <f>+pronostico!Q41*10%</f>
        <v>7711.6</v>
      </c>
      <c r="AE42" s="176">
        <f t="shared" si="23"/>
        <v>21900944</v>
      </c>
      <c r="AF42" s="177">
        <f t="shared" si="23"/>
        <v>10950472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+pronostico!Q42*50%</f>
        <v>34783</v>
      </c>
      <c r="G43" s="137">
        <f t="shared" si="13"/>
        <v>132175400</v>
      </c>
      <c r="H43" s="138">
        <f t="shared" si="13"/>
        <v>52870160</v>
      </c>
      <c r="I43" s="137">
        <f t="shared" si="21"/>
        <v>20869.8</v>
      </c>
      <c r="J43" s="139">
        <f t="shared" si="15"/>
        <v>10434.9</v>
      </c>
      <c r="K43" s="167">
        <f t="shared" si="0"/>
        <v>3478.3</v>
      </c>
      <c r="L43" s="168" t="s">
        <v>21</v>
      </c>
      <c r="M43" s="169">
        <f>+pronostico!Q42*20%</f>
        <v>13913.2</v>
      </c>
      <c r="N43" s="170">
        <f t="shared" si="2"/>
        <v>52870160</v>
      </c>
      <c r="O43" s="171">
        <f t="shared" si="3"/>
        <v>21148064</v>
      </c>
      <c r="P43" s="170">
        <f t="shared" si="16"/>
        <v>6956.6</v>
      </c>
      <c r="Q43" s="172">
        <f t="shared" si="17"/>
        <v>6956.6</v>
      </c>
      <c r="R43" s="173">
        <f>+pronostico!Q42*8%</f>
        <v>5565.28</v>
      </c>
      <c r="S43" s="174">
        <f t="shared" si="4"/>
        <v>21148064</v>
      </c>
      <c r="T43" s="175">
        <f t="shared" si="5"/>
        <v>8459225.5999999996</v>
      </c>
      <c r="U43" s="173">
        <f>+pronostico!Q42*8%</f>
        <v>5565.28</v>
      </c>
      <c r="V43" s="176">
        <v>0</v>
      </c>
      <c r="W43" s="177">
        <f t="shared" si="22"/>
        <v>0</v>
      </c>
      <c r="X43" s="173">
        <f>+pronostico!Q42*2%</f>
        <v>1391.32</v>
      </c>
      <c r="Y43" s="178">
        <f t="shared" si="8"/>
        <v>5287016</v>
      </c>
      <c r="Z43" s="178">
        <f t="shared" si="9"/>
        <v>2114806.4</v>
      </c>
      <c r="AA43" s="173">
        <f>+pronostico!Q42*2%</f>
        <v>1391.32</v>
      </c>
      <c r="AB43" s="179">
        <f t="shared" si="10"/>
        <v>5287016</v>
      </c>
      <c r="AC43" s="180">
        <f t="shared" si="11"/>
        <v>2114806.4</v>
      </c>
      <c r="AD43" s="173">
        <f>+pronostico!Q42*10%</f>
        <v>6956.6</v>
      </c>
      <c r="AE43" s="176">
        <f t="shared" si="23"/>
        <v>26435080</v>
      </c>
      <c r="AF43" s="177">
        <f t="shared" si="23"/>
        <v>10574032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+pronostico!Q43*50%</f>
        <v>29875.953913832043</v>
      </c>
      <c r="G44" s="137">
        <f t="shared" si="13"/>
        <v>102773281.46358223</v>
      </c>
      <c r="H44" s="138">
        <f t="shared" si="13"/>
        <v>51386640.731791116</v>
      </c>
      <c r="I44" s="137">
        <f t="shared" si="21"/>
        <v>17925.572348299225</v>
      </c>
      <c r="J44" s="139">
        <f t="shared" si="15"/>
        <v>8962.7861741496126</v>
      </c>
      <c r="K44" s="167">
        <f t="shared" si="0"/>
        <v>2987.5953913832045</v>
      </c>
      <c r="L44" s="168" t="s">
        <v>21</v>
      </c>
      <c r="M44" s="169">
        <f>+pronostico!Q43*20%</f>
        <v>11950.381565532818</v>
      </c>
      <c r="N44" s="170">
        <f t="shared" si="2"/>
        <v>41109312.585432895</v>
      </c>
      <c r="O44" s="171">
        <f t="shared" si="3"/>
        <v>20554656.292716447</v>
      </c>
      <c r="P44" s="170">
        <f t="shared" si="16"/>
        <v>5975.190782766409</v>
      </c>
      <c r="Q44" s="172">
        <f t="shared" si="17"/>
        <v>5975.190782766409</v>
      </c>
      <c r="R44" s="173">
        <f>+pronostico!Q43*8%</f>
        <v>4780.1526262131274</v>
      </c>
      <c r="S44" s="174">
        <f t="shared" si="4"/>
        <v>16443725.034173159</v>
      </c>
      <c r="T44" s="175">
        <f t="shared" si="5"/>
        <v>8221862.5170865795</v>
      </c>
      <c r="U44" s="173">
        <f>+pronostico!Q43*8%</f>
        <v>4780.1526262131274</v>
      </c>
      <c r="V44" s="176">
        <f t="shared" ref="V44:V51" si="24">U44*D44</f>
        <v>16443725.034173159</v>
      </c>
      <c r="W44" s="177">
        <f t="shared" si="22"/>
        <v>8221862.5170865795</v>
      </c>
      <c r="X44" s="173">
        <f>+pronostico!Q43*2%</f>
        <v>1195.0381565532819</v>
      </c>
      <c r="Y44" s="178">
        <f t="shared" si="8"/>
        <v>4110931.2585432897</v>
      </c>
      <c r="Z44" s="178">
        <f t="shared" si="9"/>
        <v>2055465.6292716449</v>
      </c>
      <c r="AA44" s="173">
        <f>+pronostico!Q43*2%</f>
        <v>1195.0381565532819</v>
      </c>
      <c r="AB44" s="179">
        <f t="shared" si="10"/>
        <v>4110931.2585432897</v>
      </c>
      <c r="AC44" s="180">
        <f t="shared" si="11"/>
        <v>2055465.6292716449</v>
      </c>
      <c r="AD44" s="173">
        <f>+pronostico!Q43*10%</f>
        <v>5975.190782766409</v>
      </c>
      <c r="AE44" s="176">
        <f t="shared" si="23"/>
        <v>20554656.292716447</v>
      </c>
      <c r="AF44" s="177">
        <f t="shared" si="23"/>
        <v>10277328.146358224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+pronostico!Q44*50%</f>
        <v>35098.485703396545</v>
      </c>
      <c r="G45" s="137">
        <f t="shared" si="13"/>
        <v>72302880.548996881</v>
      </c>
      <c r="H45" s="138">
        <f t="shared" si="13"/>
        <v>36151440.27449844</v>
      </c>
      <c r="I45" s="137">
        <f t="shared" si="21"/>
        <v>21059.091422037927</v>
      </c>
      <c r="J45" s="139">
        <f t="shared" si="15"/>
        <v>10529.545711018964</v>
      </c>
      <c r="K45" s="167">
        <f t="shared" si="0"/>
        <v>3509.8485703396545</v>
      </c>
      <c r="L45" s="168" t="s">
        <v>21</v>
      </c>
      <c r="M45" s="169">
        <f>+pronostico!Q44*20%</f>
        <v>14039.394281358618</v>
      </c>
      <c r="N45" s="170">
        <f t="shared" si="2"/>
        <v>28921152.219598755</v>
      </c>
      <c r="O45" s="171">
        <f t="shared" si="3"/>
        <v>14460576.109799378</v>
      </c>
      <c r="P45" s="170">
        <f t="shared" si="16"/>
        <v>7019.6971406793091</v>
      </c>
      <c r="Q45" s="172">
        <f t="shared" si="17"/>
        <v>7019.6971406793091</v>
      </c>
      <c r="R45" s="173">
        <f>+pronostico!Q44*8%</f>
        <v>5615.7577125434473</v>
      </c>
      <c r="S45" s="174">
        <f t="shared" si="4"/>
        <v>11568460.887839502</v>
      </c>
      <c r="T45" s="175">
        <f t="shared" si="5"/>
        <v>5784230.4439197509</v>
      </c>
      <c r="U45" s="173">
        <f>+pronostico!Q44*8%</f>
        <v>5615.7577125434473</v>
      </c>
      <c r="V45" s="176">
        <f t="shared" si="24"/>
        <v>11568460.887839502</v>
      </c>
      <c r="W45" s="177">
        <f t="shared" si="22"/>
        <v>5784230.4439197509</v>
      </c>
      <c r="X45" s="173">
        <f>+pronostico!Q44*2%</f>
        <v>1403.9394281358618</v>
      </c>
      <c r="Y45" s="178">
        <f t="shared" si="8"/>
        <v>2892115.2219598754</v>
      </c>
      <c r="Z45" s="178">
        <f t="shared" si="9"/>
        <v>1446057.6109799377</v>
      </c>
      <c r="AA45" s="173">
        <f>+pronostico!Q44*2%</f>
        <v>1403.9394281358618</v>
      </c>
      <c r="AB45" s="179">
        <f t="shared" si="10"/>
        <v>2892115.2219598754</v>
      </c>
      <c r="AC45" s="180">
        <f t="shared" si="11"/>
        <v>1446057.6109799377</v>
      </c>
      <c r="AD45" s="173">
        <f>+pronostico!Q44*10%</f>
        <v>7019.6971406793091</v>
      </c>
      <c r="AE45" s="176">
        <f t="shared" si="23"/>
        <v>14460576.109799378</v>
      </c>
      <c r="AF45" s="177">
        <f t="shared" si="23"/>
        <v>7230288.0548996888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+pronostico!Q45*50%</f>
        <v>18048.455449230158</v>
      </c>
      <c r="G46" s="137">
        <f t="shared" si="13"/>
        <v>50716159.812336743</v>
      </c>
      <c r="H46" s="138">
        <f t="shared" si="13"/>
        <v>25358079.906168371</v>
      </c>
      <c r="I46" s="137">
        <f t="shared" si="21"/>
        <v>10829.073269538094</v>
      </c>
      <c r="J46" s="139">
        <f t="shared" si="15"/>
        <v>5414.5366347690469</v>
      </c>
      <c r="K46" s="167">
        <f t="shared" si="0"/>
        <v>1804.845544923016</v>
      </c>
      <c r="L46" s="168" t="s">
        <v>21</v>
      </c>
      <c r="M46" s="169">
        <f>+pronostico!Q45*20%</f>
        <v>7219.3821796920638</v>
      </c>
      <c r="N46" s="170">
        <f t="shared" si="2"/>
        <v>20286463.9249347</v>
      </c>
      <c r="O46" s="171">
        <f t="shared" si="3"/>
        <v>10143231.96246735</v>
      </c>
      <c r="P46" s="170">
        <f t="shared" si="16"/>
        <v>3609.6910898460319</v>
      </c>
      <c r="Q46" s="172">
        <f t="shared" si="17"/>
        <v>3609.6910898460319</v>
      </c>
      <c r="R46" s="173">
        <f>+pronostico!Q45*8%</f>
        <v>2887.7528718768253</v>
      </c>
      <c r="S46" s="174">
        <f t="shared" si="4"/>
        <v>8114585.5699738795</v>
      </c>
      <c r="T46" s="175">
        <f t="shared" si="5"/>
        <v>4057292.7849869397</v>
      </c>
      <c r="U46" s="173">
        <f>+pronostico!Q45*8%</f>
        <v>2887.7528718768253</v>
      </c>
      <c r="V46" s="176">
        <f t="shared" si="24"/>
        <v>8114585.5699738795</v>
      </c>
      <c r="W46" s="177">
        <f t="shared" si="22"/>
        <v>4057292.7849869397</v>
      </c>
      <c r="X46" s="173">
        <f>+pronostico!Q45*2%</f>
        <v>721.93821796920633</v>
      </c>
      <c r="Y46" s="178">
        <f t="shared" si="8"/>
        <v>2028646.3924934699</v>
      </c>
      <c r="Z46" s="178">
        <f t="shared" si="9"/>
        <v>1014323.1962467349</v>
      </c>
      <c r="AA46" s="173">
        <f>+pronostico!Q45*2%</f>
        <v>721.93821796920633</v>
      </c>
      <c r="AB46" s="179">
        <f t="shared" si="10"/>
        <v>2028646.3924934699</v>
      </c>
      <c r="AC46" s="180">
        <f t="shared" si="11"/>
        <v>1014323.1962467349</v>
      </c>
      <c r="AD46" s="173">
        <f>+pronostico!Q45*10%</f>
        <v>3609.6910898460319</v>
      </c>
      <c r="AE46" s="176">
        <f t="shared" si="23"/>
        <v>10143231.96246735</v>
      </c>
      <c r="AF46" s="177">
        <f t="shared" si="23"/>
        <v>5071615.981233675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+pronostico!Q46*50%</f>
        <v>14745.972111711468</v>
      </c>
      <c r="G47" s="137">
        <f t="shared" si="13"/>
        <v>61048324.542485476</v>
      </c>
      <c r="H47" s="138">
        <f t="shared" si="13"/>
        <v>24419329.81699419</v>
      </c>
      <c r="I47" s="137">
        <f t="shared" si="21"/>
        <v>8847.583267026881</v>
      </c>
      <c r="J47" s="139">
        <f t="shared" si="15"/>
        <v>4423.7916335134405</v>
      </c>
      <c r="K47" s="167">
        <f t="shared" si="0"/>
        <v>1474.5972111711469</v>
      </c>
      <c r="L47" s="168" t="s">
        <v>21</v>
      </c>
      <c r="M47" s="169">
        <f>+pronostico!Q46*20%</f>
        <v>5898.3888446845876</v>
      </c>
      <c r="N47" s="170">
        <f t="shared" si="2"/>
        <v>24419329.816994194</v>
      </c>
      <c r="O47" s="171">
        <f t="shared" si="3"/>
        <v>9767731.9267976787</v>
      </c>
      <c r="P47" s="170">
        <f t="shared" si="16"/>
        <v>2949.1944223422938</v>
      </c>
      <c r="Q47" s="172">
        <f t="shared" si="17"/>
        <v>2949.1944223422938</v>
      </c>
      <c r="R47" s="173">
        <f>+pronostico!Q46*8%</f>
        <v>2359.3555378738347</v>
      </c>
      <c r="S47" s="174">
        <f t="shared" si="4"/>
        <v>9767731.926797675</v>
      </c>
      <c r="T47" s="175">
        <f t="shared" si="5"/>
        <v>3907092.77071907</v>
      </c>
      <c r="U47" s="173">
        <f>+pronostico!Q46*8%</f>
        <v>2359.3555378738347</v>
      </c>
      <c r="V47" s="176">
        <f t="shared" si="24"/>
        <v>9767731.926797675</v>
      </c>
      <c r="W47" s="177">
        <f t="shared" si="22"/>
        <v>3907092.77071907</v>
      </c>
      <c r="X47" s="173">
        <f>+pronostico!Q46*2%</f>
        <v>589.83888446845867</v>
      </c>
      <c r="Y47" s="178">
        <f t="shared" si="8"/>
        <v>2441932.9816994187</v>
      </c>
      <c r="Z47" s="178">
        <f t="shared" si="9"/>
        <v>976773.1926797675</v>
      </c>
      <c r="AA47" s="173">
        <f>+pronostico!Q46*2%</f>
        <v>589.83888446845867</v>
      </c>
      <c r="AB47" s="179">
        <f t="shared" si="10"/>
        <v>2441932.9816994187</v>
      </c>
      <c r="AC47" s="180">
        <f t="shared" si="11"/>
        <v>976773.1926797675</v>
      </c>
      <c r="AD47" s="173">
        <f>+pronostico!Q46*10%</f>
        <v>2949.1944223422938</v>
      </c>
      <c r="AE47" s="176">
        <f t="shared" si="23"/>
        <v>12209664.908497097</v>
      </c>
      <c r="AF47" s="177">
        <f t="shared" si="23"/>
        <v>4883865.9633988393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+pronostico!Q47*50%</f>
        <v>16266.214749204461</v>
      </c>
      <c r="G48" s="137">
        <f t="shared" si="13"/>
        <v>34972361.710789591</v>
      </c>
      <c r="H48" s="138">
        <f t="shared" si="13"/>
        <v>17486180.855394796</v>
      </c>
      <c r="I48" s="137">
        <f t="shared" si="21"/>
        <v>9759.7288495226767</v>
      </c>
      <c r="J48" s="139">
        <f t="shared" si="15"/>
        <v>4879.8644247613383</v>
      </c>
      <c r="K48" s="167">
        <f t="shared" si="0"/>
        <v>1626.6214749204462</v>
      </c>
      <c r="L48" s="168" t="s">
        <v>21</v>
      </c>
      <c r="M48" s="169">
        <f>+pronostico!Q47*20%</f>
        <v>6506.4858996817848</v>
      </c>
      <c r="N48" s="170">
        <f t="shared" si="2"/>
        <v>13988944.684315838</v>
      </c>
      <c r="O48" s="171">
        <f t="shared" si="3"/>
        <v>6994472.342157919</v>
      </c>
      <c r="P48" s="170">
        <f t="shared" si="16"/>
        <v>3253.2429498408924</v>
      </c>
      <c r="Q48" s="172">
        <f t="shared" si="17"/>
        <v>3253.2429498408924</v>
      </c>
      <c r="R48" s="173">
        <f>+pronostico!Q47*8%</f>
        <v>2602.5943598727135</v>
      </c>
      <c r="S48" s="174">
        <f t="shared" si="4"/>
        <v>5595577.8737263344</v>
      </c>
      <c r="T48" s="175">
        <f t="shared" si="5"/>
        <v>2797788.9368631672</v>
      </c>
      <c r="U48" s="173">
        <f>+pronostico!Q47*8%</f>
        <v>2602.5943598727135</v>
      </c>
      <c r="V48" s="176">
        <f t="shared" si="24"/>
        <v>5595577.8737263344</v>
      </c>
      <c r="W48" s="177">
        <f t="shared" si="22"/>
        <v>2797788.9368631672</v>
      </c>
      <c r="X48" s="173">
        <f>+pronostico!Q47*2%</f>
        <v>650.64858996817838</v>
      </c>
      <c r="Y48" s="178">
        <f t="shared" si="8"/>
        <v>1398894.4684315836</v>
      </c>
      <c r="Z48" s="178">
        <f t="shared" si="9"/>
        <v>699447.2342157918</v>
      </c>
      <c r="AA48" s="173">
        <f>+pronostico!Q47*2%</f>
        <v>650.64858996817838</v>
      </c>
      <c r="AB48" s="179">
        <f t="shared" si="10"/>
        <v>1398894.4684315836</v>
      </c>
      <c r="AC48" s="180">
        <f t="shared" si="11"/>
        <v>699447.2342157918</v>
      </c>
      <c r="AD48" s="173">
        <f>+pronostico!Q47*10%</f>
        <v>3253.2429498408924</v>
      </c>
      <c r="AE48" s="176">
        <f t="shared" si="23"/>
        <v>6994472.342157919</v>
      </c>
      <c r="AF48" s="177">
        <f t="shared" si="23"/>
        <v>3497236.1710789595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+pronostico!Q48*50%</f>
        <v>12902.725597747549</v>
      </c>
      <c r="G49" s="137">
        <f t="shared" si="13"/>
        <v>27740860.03515723</v>
      </c>
      <c r="H49" s="138">
        <f t="shared" si="13"/>
        <v>13870430.017578615</v>
      </c>
      <c r="I49" s="137">
        <f t="shared" si="21"/>
        <v>7741.6353586485293</v>
      </c>
      <c r="J49" s="139">
        <f t="shared" si="15"/>
        <v>3870.8176793242646</v>
      </c>
      <c r="K49" s="167">
        <f t="shared" si="0"/>
        <v>1290.2725597747549</v>
      </c>
      <c r="L49" s="168" t="s">
        <v>21</v>
      </c>
      <c r="M49" s="169">
        <f>+pronostico!Q48*20%</f>
        <v>5161.0902390990195</v>
      </c>
      <c r="N49" s="170">
        <f t="shared" si="2"/>
        <v>11096344.014062893</v>
      </c>
      <c r="O49" s="171">
        <f t="shared" si="3"/>
        <v>5548172.0070314463</v>
      </c>
      <c r="P49" s="170">
        <f t="shared" si="16"/>
        <v>2580.5451195495098</v>
      </c>
      <c r="Q49" s="172">
        <f t="shared" si="17"/>
        <v>2580.5451195495098</v>
      </c>
      <c r="R49" s="173">
        <f>+pronostico!Q48*8%</f>
        <v>2064.4360956396076</v>
      </c>
      <c r="S49" s="174">
        <f t="shared" si="4"/>
        <v>4438537.6056251563</v>
      </c>
      <c r="T49" s="175">
        <f t="shared" si="5"/>
        <v>2219268.8028125782</v>
      </c>
      <c r="U49" s="173">
        <f>+pronostico!Q48*8%</f>
        <v>2064.4360956396076</v>
      </c>
      <c r="V49" s="176">
        <f t="shared" si="24"/>
        <v>4438537.6056251563</v>
      </c>
      <c r="W49" s="177">
        <f t="shared" si="22"/>
        <v>2219268.8028125782</v>
      </c>
      <c r="X49" s="173">
        <f>+pronostico!Q48*2%</f>
        <v>516.10902390990191</v>
      </c>
      <c r="Y49" s="178">
        <f t="shared" si="8"/>
        <v>1109634.4014062891</v>
      </c>
      <c r="Z49" s="178">
        <f t="shared" si="9"/>
        <v>554817.20070314454</v>
      </c>
      <c r="AA49" s="173">
        <f>+pronostico!Q48*2%</f>
        <v>516.10902390990191</v>
      </c>
      <c r="AB49" s="179">
        <f t="shared" si="10"/>
        <v>1109634.4014062891</v>
      </c>
      <c r="AC49" s="180">
        <f t="shared" si="11"/>
        <v>554817.20070314454</v>
      </c>
      <c r="AD49" s="173">
        <f>+pronostico!Q48*10%</f>
        <v>2580.5451195495098</v>
      </c>
      <c r="AE49" s="176">
        <f t="shared" si="23"/>
        <v>5548172.0070314463</v>
      </c>
      <c r="AF49" s="177">
        <f t="shared" si="23"/>
        <v>2774086.0035157232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+pronostico!Q49*50%</f>
        <v>9446.638384065167</v>
      </c>
      <c r="G50" s="137">
        <f t="shared" si="13"/>
        <v>38542284.606985882</v>
      </c>
      <c r="H50" s="138">
        <f t="shared" si="13"/>
        <v>15416913.842794353</v>
      </c>
      <c r="I50" s="137">
        <f t="shared" si="21"/>
        <v>5667.9830304390998</v>
      </c>
      <c r="J50" s="139">
        <f t="shared" si="15"/>
        <v>2833.9915152195499</v>
      </c>
      <c r="K50" s="167">
        <f t="shared" si="0"/>
        <v>944.66383840651679</v>
      </c>
      <c r="L50" s="168" t="s">
        <v>21</v>
      </c>
      <c r="M50" s="169">
        <f>+pronostico!Q49*20%</f>
        <v>3778.6553536260672</v>
      </c>
      <c r="N50" s="170">
        <f t="shared" si="2"/>
        <v>15416913.842794353</v>
      </c>
      <c r="O50" s="171">
        <f t="shared" si="3"/>
        <v>6166765.537117742</v>
      </c>
      <c r="P50" s="170">
        <f t="shared" si="16"/>
        <v>1889.3276768130336</v>
      </c>
      <c r="Q50" s="172">
        <f t="shared" si="17"/>
        <v>1889.3276768130336</v>
      </c>
      <c r="R50" s="173">
        <f>+pronostico!Q49*8%</f>
        <v>1511.4621414504268</v>
      </c>
      <c r="S50" s="174">
        <f t="shared" si="4"/>
        <v>6166765.5371177411</v>
      </c>
      <c r="T50" s="175">
        <f t="shared" si="5"/>
        <v>2466706.2148470967</v>
      </c>
      <c r="U50" s="173">
        <f>+pronostico!Q49*8%</f>
        <v>1511.4621414504268</v>
      </c>
      <c r="V50" s="176">
        <f t="shared" si="24"/>
        <v>6166765.5371177411</v>
      </c>
      <c r="W50" s="177">
        <f t="shared" si="22"/>
        <v>2466706.2148470967</v>
      </c>
      <c r="X50" s="173">
        <f>+pronostico!Q49*2%</f>
        <v>377.86553536260669</v>
      </c>
      <c r="Y50" s="178">
        <f t="shared" si="8"/>
        <v>1541691.3842794353</v>
      </c>
      <c r="Z50" s="178">
        <f t="shared" si="9"/>
        <v>616676.55371177418</v>
      </c>
      <c r="AA50" s="173">
        <f>+pronostico!Q49*2%</f>
        <v>377.86553536260669</v>
      </c>
      <c r="AB50" s="179">
        <f t="shared" si="10"/>
        <v>1541691.3842794353</v>
      </c>
      <c r="AC50" s="180">
        <f t="shared" si="11"/>
        <v>616676.55371177418</v>
      </c>
      <c r="AD50" s="173">
        <f>+pronostico!Q49*10%</f>
        <v>1889.3276768130336</v>
      </c>
      <c r="AE50" s="176">
        <f t="shared" si="23"/>
        <v>7708456.9213971766</v>
      </c>
      <c r="AF50" s="177">
        <f t="shared" si="23"/>
        <v>3083382.768558871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+pronostico!Q50*50%</f>
        <v>10291.459702965292</v>
      </c>
      <c r="G51" s="150">
        <f t="shared" si="13"/>
        <v>57220515.948487028</v>
      </c>
      <c r="H51" s="138">
        <f t="shared" si="13"/>
        <v>22888206.379394814</v>
      </c>
      <c r="I51" s="150">
        <f t="shared" si="21"/>
        <v>6174.8758217791756</v>
      </c>
      <c r="J51" s="151">
        <f t="shared" si="15"/>
        <v>3087.4379108895878</v>
      </c>
      <c r="K51" s="181">
        <f t="shared" si="0"/>
        <v>1029.1459702965292</v>
      </c>
      <c r="L51" s="182" t="s">
        <v>21</v>
      </c>
      <c r="M51" s="169">
        <f>+pronostico!Q50*20%</f>
        <v>4116.5838811861167</v>
      </c>
      <c r="N51" s="170">
        <f t="shared" si="2"/>
        <v>22888206.379394811</v>
      </c>
      <c r="O51" s="171">
        <f t="shared" si="3"/>
        <v>9155282.5517579243</v>
      </c>
      <c r="P51" s="183">
        <f t="shared" si="16"/>
        <v>2058.2919405930584</v>
      </c>
      <c r="Q51" s="184">
        <f t="shared" si="17"/>
        <v>2058.2919405930584</v>
      </c>
      <c r="R51" s="173">
        <f>+pronostico!Q50*8%</f>
        <v>1646.6335524744468</v>
      </c>
      <c r="S51" s="174">
        <f t="shared" si="4"/>
        <v>9155282.5517579243</v>
      </c>
      <c r="T51" s="175">
        <f t="shared" si="5"/>
        <v>3662113.02070317</v>
      </c>
      <c r="U51" s="173">
        <f>+pronostico!Q50*8%</f>
        <v>1646.6335524744468</v>
      </c>
      <c r="V51" s="176">
        <f t="shared" si="24"/>
        <v>9155282.5517579243</v>
      </c>
      <c r="W51" s="177">
        <f t="shared" si="22"/>
        <v>3662113.02070317</v>
      </c>
      <c r="X51" s="173">
        <f>+pronostico!Q50*2%</f>
        <v>411.6583881186117</v>
      </c>
      <c r="Y51" s="178">
        <f t="shared" si="8"/>
        <v>2288820.6379394811</v>
      </c>
      <c r="Z51" s="178">
        <f t="shared" si="9"/>
        <v>915528.2551757925</v>
      </c>
      <c r="AA51" s="173">
        <f>+pronostico!Q50*2%</f>
        <v>411.6583881186117</v>
      </c>
      <c r="AB51" s="179">
        <f t="shared" si="10"/>
        <v>2288820.6379394811</v>
      </c>
      <c r="AC51" s="180">
        <f t="shared" si="11"/>
        <v>915528.2551757925</v>
      </c>
      <c r="AD51" s="173">
        <f>+pronostico!Q50*10%</f>
        <v>2058.2919405930584</v>
      </c>
      <c r="AE51" s="176">
        <f t="shared" si="23"/>
        <v>11444103.189697405</v>
      </c>
      <c r="AF51" s="177">
        <f t="shared" si="23"/>
        <v>4577641.2758789621</v>
      </c>
    </row>
    <row r="52" spans="1:32" x14ac:dyDescent="0.25">
      <c r="A52" s="152"/>
      <c r="B52" s="131" t="s">
        <v>146</v>
      </c>
      <c r="C52" s="153"/>
      <c r="D52" s="153"/>
      <c r="E52" s="154"/>
      <c r="F52" s="185"/>
      <c r="G52" s="280">
        <f>SUM(G4:G51)</f>
        <v>6572555804.9589157</v>
      </c>
      <c r="H52" s="186">
        <f>SUM(H4:H51)</f>
        <v>2915797480.8071804</v>
      </c>
      <c r="I52" s="187"/>
      <c r="J52" s="188"/>
      <c r="K52" s="188"/>
      <c r="L52" s="189"/>
      <c r="M52" s="185"/>
      <c r="N52" s="277">
        <f>SUM(N4:N51)</f>
        <v>2629022321.9835668</v>
      </c>
      <c r="O52" s="190">
        <f>SUM(O4:O51)</f>
        <v>1166318992.3228719</v>
      </c>
      <c r="P52" s="187"/>
      <c r="Q52" s="189"/>
      <c r="R52" s="185"/>
      <c r="S52" s="274">
        <f>SUM(S4:S51)</f>
        <v>1051608928.7934265</v>
      </c>
      <c r="T52" s="191">
        <f>SUM(T4:T51)</f>
        <v>466527596.92914885</v>
      </c>
      <c r="U52" s="185"/>
      <c r="V52" s="274">
        <f>SUM(V4:V51)</f>
        <v>664935279.19342649</v>
      </c>
      <c r="W52" s="191">
        <f>SUM(W4:W51)</f>
        <v>290032134.52914882</v>
      </c>
      <c r="X52" s="185"/>
      <c r="Y52" s="274">
        <f>SUM(Y4:Y51)</f>
        <v>262902232.19835663</v>
      </c>
      <c r="Z52" s="192">
        <f>SUM(Z4:Z51)</f>
        <v>116631899.23228721</v>
      </c>
      <c r="AA52" s="193"/>
      <c r="AB52" s="274">
        <f>SUM(AB4:AB51)</f>
        <v>262902232.19835663</v>
      </c>
      <c r="AC52" s="194">
        <f>SUM(AC4:AC51)</f>
        <v>116631899.23228721</v>
      </c>
      <c r="AD52" s="193"/>
      <c r="AE52" s="274">
        <f>SUM(AE4:AE51)</f>
        <v>1314511160.9917834</v>
      </c>
      <c r="AF52" s="194">
        <f>SUM(AF4:AF51)</f>
        <v>583159496.16143596</v>
      </c>
    </row>
    <row r="53" spans="1:32" ht="15.75" thickBot="1" x14ac:dyDescent="0.3">
      <c r="A53" s="152"/>
      <c r="B53" s="250" t="s">
        <v>147</v>
      </c>
      <c r="C53" s="251"/>
      <c r="D53" s="251"/>
      <c r="E53" s="252"/>
      <c r="F53" s="253"/>
      <c r="G53" s="281">
        <f>+G52*30%</f>
        <v>1971766741.4876747</v>
      </c>
      <c r="H53" s="272"/>
      <c r="I53" s="255"/>
      <c r="J53" s="254"/>
      <c r="K53" s="259"/>
      <c r="L53" s="256"/>
      <c r="M53" s="253"/>
      <c r="N53" s="278">
        <f>+N52*20%</f>
        <v>525804464.39671338</v>
      </c>
      <c r="O53" s="272"/>
      <c r="P53" s="260"/>
      <c r="Q53" s="261"/>
      <c r="R53" s="262"/>
      <c r="S53" s="275">
        <f>+S52*12%</f>
        <v>126193071.45521118</v>
      </c>
      <c r="T53" s="272"/>
      <c r="U53" s="283"/>
      <c r="V53" s="275">
        <f>+V52*12%</f>
        <v>79792233.50321117</v>
      </c>
      <c r="W53" s="272"/>
      <c r="X53" s="283"/>
      <c r="Y53" s="275"/>
      <c r="Z53" s="284"/>
      <c r="AA53" s="283"/>
      <c r="AB53" s="275">
        <f>+AB52*12%</f>
        <v>31548267.863802794</v>
      </c>
      <c r="AC53" s="272"/>
      <c r="AD53" s="283"/>
      <c r="AE53" s="275">
        <f>+AE52*12%</f>
        <v>157741339.31901401</v>
      </c>
      <c r="AF53" s="272"/>
    </row>
    <row r="54" spans="1:32" ht="15.75" thickBot="1" x14ac:dyDescent="0.3">
      <c r="A54" s="152"/>
      <c r="B54" s="263" t="s">
        <v>148</v>
      </c>
      <c r="C54" s="264"/>
      <c r="D54" s="264"/>
      <c r="E54" s="265"/>
      <c r="F54" s="266"/>
      <c r="G54" s="282">
        <f>+G52-G53</f>
        <v>4600789063.471241</v>
      </c>
      <c r="H54" s="273"/>
      <c r="I54" s="268"/>
      <c r="J54" s="267"/>
      <c r="K54" s="267"/>
      <c r="L54" s="269"/>
      <c r="M54" s="266"/>
      <c r="N54" s="279">
        <f>+N52-N53</f>
        <v>2103217857.5868535</v>
      </c>
      <c r="O54" s="273"/>
      <c r="P54" s="268"/>
      <c r="Q54" s="269"/>
      <c r="R54" s="266"/>
      <c r="S54" s="276">
        <f>+S52-S53</f>
        <v>925415857.33821535</v>
      </c>
      <c r="T54" s="273"/>
      <c r="U54" s="285"/>
      <c r="V54" s="276">
        <f>+V52-V53</f>
        <v>585143045.69021535</v>
      </c>
      <c r="W54" s="273"/>
      <c r="X54" s="285"/>
      <c r="Y54" s="276">
        <f>+Y52-Y53</f>
        <v>262902232.19835663</v>
      </c>
      <c r="Z54" s="286"/>
      <c r="AA54" s="285"/>
      <c r="AB54" s="276">
        <f>+AB52-AB53</f>
        <v>231353964.33455384</v>
      </c>
      <c r="AC54" s="273"/>
      <c r="AD54" s="285"/>
      <c r="AE54" s="276">
        <f>+AE52-AE53</f>
        <v>1156769821.6727693</v>
      </c>
      <c r="AF54" s="273"/>
    </row>
    <row r="55" spans="1:32" x14ac:dyDescent="0.25">
      <c r="A55" s="152"/>
      <c r="B55" s="257"/>
      <c r="C55" s="257"/>
      <c r="D55" s="257"/>
      <c r="E55" s="257"/>
      <c r="F55" s="258"/>
      <c r="G55" s="258"/>
      <c r="H55" s="25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</row>
    <row r="56" spans="1:32" x14ac:dyDescent="0.25">
      <c r="B56" s="2"/>
      <c r="C56" s="2"/>
      <c r="D56" s="2"/>
      <c r="E56" s="2"/>
      <c r="F56" s="786" t="s">
        <v>161</v>
      </c>
      <c r="G56" s="787"/>
      <c r="H56" s="788"/>
      <c r="I56" s="2"/>
      <c r="J56" s="2"/>
      <c r="K56" s="2"/>
      <c r="L56" s="2"/>
      <c r="M56" s="786" t="s">
        <v>160</v>
      </c>
      <c r="N56" s="787"/>
      <c r="O56" s="788"/>
      <c r="P56" s="2"/>
      <c r="Q56" s="2"/>
      <c r="R56" s="786" t="s">
        <v>159</v>
      </c>
      <c r="S56" s="787"/>
      <c r="T56" s="788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x14ac:dyDescent="0.25">
      <c r="F57" s="3" t="s">
        <v>155</v>
      </c>
      <c r="G57" s="3"/>
      <c r="H57" s="271">
        <f>+G52</f>
        <v>6572555804.9589157</v>
      </c>
      <c r="M57" s="3" t="s">
        <v>155</v>
      </c>
      <c r="N57" s="3"/>
      <c r="O57" s="271">
        <f>+N52</f>
        <v>2629022321.9835668</v>
      </c>
      <c r="R57" s="3" t="s">
        <v>155</v>
      </c>
      <c r="S57" s="3"/>
      <c r="T57" s="271">
        <f>S52+V52+Y52+AB52+AE52</f>
        <v>3556859833.37535</v>
      </c>
    </row>
    <row r="58" spans="1:32" x14ac:dyDescent="0.25">
      <c r="F58" s="3" t="s">
        <v>156</v>
      </c>
      <c r="G58" s="3"/>
      <c r="H58" s="271">
        <f>+G52-H52</f>
        <v>3656758324.1517353</v>
      </c>
      <c r="M58" s="3" t="s">
        <v>156</v>
      </c>
      <c r="N58" s="3"/>
      <c r="O58" s="271">
        <f>+N52-O52</f>
        <v>1462703329.6606948</v>
      </c>
      <c r="P58" s="270"/>
      <c r="R58" s="3" t="s">
        <v>156</v>
      </c>
      <c r="S58" s="3"/>
      <c r="T58" s="271">
        <f>T57-T59</f>
        <v>1983876807.2910419</v>
      </c>
    </row>
    <row r="59" spans="1:32" x14ac:dyDescent="0.25">
      <c r="F59" s="3" t="s">
        <v>157</v>
      </c>
      <c r="G59" s="3"/>
      <c r="H59" s="271">
        <f>+H52</f>
        <v>2915797480.8071804</v>
      </c>
      <c r="M59" s="3" t="s">
        <v>157</v>
      </c>
      <c r="N59" s="3"/>
      <c r="O59" s="271">
        <f>+O52</f>
        <v>1166318992.3228719</v>
      </c>
      <c r="R59" s="3" t="s">
        <v>157</v>
      </c>
      <c r="S59" s="3"/>
      <c r="T59" s="271">
        <f>T52+W52+Z52+AC52+AF52</f>
        <v>1572983026.0843081</v>
      </c>
    </row>
    <row r="60" spans="1:32" x14ac:dyDescent="0.25">
      <c r="F60" s="3" t="s">
        <v>147</v>
      </c>
      <c r="G60" s="3"/>
      <c r="H60" s="271">
        <f>+G53</f>
        <v>1971766741.4876747</v>
      </c>
      <c r="M60" s="3" t="s">
        <v>147</v>
      </c>
      <c r="N60" s="3"/>
      <c r="O60" s="271">
        <f>+N53</f>
        <v>525804464.39671338</v>
      </c>
      <c r="R60" s="3" t="s">
        <v>147</v>
      </c>
      <c r="S60" s="3"/>
      <c r="T60" s="271">
        <f>S53+V53+AB53+AE53</f>
        <v>395274912.14123917</v>
      </c>
    </row>
    <row r="61" spans="1:32" x14ac:dyDescent="0.25">
      <c r="F61" s="3" t="s">
        <v>158</v>
      </c>
      <c r="G61" s="3"/>
      <c r="H61" s="271">
        <f>+H59-H60</f>
        <v>944030739.31950569</v>
      </c>
      <c r="M61" s="3" t="s">
        <v>158</v>
      </c>
      <c r="N61" s="3"/>
      <c r="O61" s="271">
        <f>+O59-O60</f>
        <v>640514527.92615855</v>
      </c>
      <c r="R61" s="3" t="s">
        <v>158</v>
      </c>
      <c r="S61" s="3"/>
      <c r="T61" s="271">
        <f>+T59-T60</f>
        <v>1177708113.943069</v>
      </c>
    </row>
  </sheetData>
  <mergeCells count="7">
    <mergeCell ref="A1:AF1"/>
    <mergeCell ref="F2:L2"/>
    <mergeCell ref="M2:Q2"/>
    <mergeCell ref="R2:AF2"/>
    <mergeCell ref="R56:T56"/>
    <mergeCell ref="M56:O56"/>
    <mergeCell ref="F56:H5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E1" workbookViewId="0">
      <selection activeCell="L19" sqref="L19"/>
    </sheetView>
  </sheetViews>
  <sheetFormatPr baseColWidth="10" defaultRowHeight="15" x14ac:dyDescent="0.25"/>
  <cols>
    <col min="1" max="1" width="11.42578125" style="1"/>
    <col min="2" max="2" width="36.7109375" style="1" bestFit="1" customWidth="1"/>
    <col min="3" max="3" width="15.140625" style="1" bestFit="1" customWidth="1"/>
    <col min="4" max="4" width="17.140625" style="42" customWidth="1"/>
    <col min="5" max="5" width="16.7109375" style="1" bestFit="1" customWidth="1"/>
    <col min="6" max="6" width="11.42578125" style="1"/>
    <col min="7" max="10" width="12.28515625" style="589" customWidth="1"/>
    <col min="11" max="11" width="12.28515625" style="599" customWidth="1"/>
    <col min="12" max="14" width="12.28515625" style="589" customWidth="1"/>
    <col min="15" max="15" width="14.7109375" style="43" customWidth="1"/>
    <col min="16" max="16384" width="11.42578125" style="1"/>
  </cols>
  <sheetData>
    <row r="1" spans="1:18" s="2" customFormat="1" ht="15.75" thickBot="1" x14ac:dyDescent="0.3">
      <c r="D1" s="11"/>
      <c r="G1" s="580"/>
      <c r="H1" s="580"/>
      <c r="I1" s="580"/>
      <c r="J1" s="580"/>
      <c r="K1" s="594"/>
      <c r="L1" s="580"/>
      <c r="M1" s="580"/>
      <c r="N1" s="580"/>
      <c r="O1" s="12"/>
    </row>
    <row r="2" spans="1:18" ht="16.5" thickBot="1" x14ac:dyDescent="0.3">
      <c r="A2" s="771" t="s">
        <v>30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72"/>
      <c r="O2" s="773"/>
    </row>
    <row r="3" spans="1:18" ht="15.75" x14ac:dyDescent="0.25">
      <c r="A3" s="13"/>
      <c r="B3" s="13"/>
      <c r="C3" s="13"/>
      <c r="D3" s="14"/>
      <c r="E3" s="13"/>
      <c r="F3" s="13"/>
      <c r="G3" s="581"/>
      <c r="H3" s="581"/>
      <c r="I3" s="581"/>
      <c r="J3" s="581"/>
      <c r="K3" s="595"/>
      <c r="L3" s="581"/>
      <c r="M3" s="581"/>
      <c r="N3" s="581"/>
      <c r="O3" s="15"/>
    </row>
    <row r="4" spans="1:18" s="18" customFormat="1" ht="38.25" x14ac:dyDescent="0.25">
      <c r="A4" s="16" t="s">
        <v>31</v>
      </c>
      <c r="B4" s="16" t="s">
        <v>2</v>
      </c>
      <c r="C4" s="16" t="s">
        <v>32</v>
      </c>
      <c r="D4" s="16" t="s">
        <v>33</v>
      </c>
      <c r="E4" s="16" t="s">
        <v>34</v>
      </c>
      <c r="F4" s="16" t="s">
        <v>35</v>
      </c>
      <c r="G4" s="38" t="s">
        <v>36</v>
      </c>
      <c r="H4" s="38" t="s">
        <v>229</v>
      </c>
      <c r="I4" s="38" t="s">
        <v>230</v>
      </c>
      <c r="J4" s="38" t="s">
        <v>209</v>
      </c>
      <c r="K4" s="596" t="s">
        <v>236</v>
      </c>
      <c r="L4" s="38" t="s">
        <v>217</v>
      </c>
      <c r="M4" s="38" t="s">
        <v>229</v>
      </c>
      <c r="N4" s="38" t="s">
        <v>231</v>
      </c>
      <c r="O4" s="17" t="s">
        <v>37</v>
      </c>
    </row>
    <row r="5" spans="1:18" x14ac:dyDescent="0.25">
      <c r="A5" s="19"/>
      <c r="B5" s="19"/>
      <c r="C5" s="19"/>
      <c r="D5" s="20"/>
      <c r="E5" s="19"/>
      <c r="F5" s="19"/>
      <c r="G5" s="582"/>
      <c r="H5" s="582"/>
      <c r="I5" s="582"/>
      <c r="J5" s="582"/>
      <c r="K5" s="597"/>
      <c r="L5" s="582"/>
      <c r="M5" s="582"/>
      <c r="N5" s="582"/>
      <c r="O5" s="21"/>
    </row>
    <row r="6" spans="1:18" x14ac:dyDescent="0.25">
      <c r="A6" s="10">
        <v>100001</v>
      </c>
      <c r="B6" s="22" t="s">
        <v>15</v>
      </c>
      <c r="C6" s="10"/>
      <c r="D6" s="23">
        <v>7702011012890</v>
      </c>
      <c r="E6" s="10" t="s">
        <v>38</v>
      </c>
      <c r="F6" s="24" t="s">
        <v>39</v>
      </c>
      <c r="G6" s="24" t="s">
        <v>40</v>
      </c>
      <c r="H6" s="24">
        <v>0.02</v>
      </c>
      <c r="I6" s="24">
        <f>+H6*24</f>
        <v>0.48</v>
      </c>
      <c r="J6" s="24" t="s">
        <v>216</v>
      </c>
      <c r="K6" s="593">
        <f>+I6*20</f>
        <v>9.6</v>
      </c>
      <c r="L6" s="590">
        <f>0.5*0.7*0.6</f>
        <v>0.21</v>
      </c>
      <c r="M6" s="593">
        <v>1.5</v>
      </c>
      <c r="N6" s="593">
        <f>+M6+K6</f>
        <v>11.1</v>
      </c>
      <c r="O6" s="25">
        <v>4910</v>
      </c>
    </row>
    <row r="7" spans="1:18" x14ac:dyDescent="0.25">
      <c r="A7" s="10">
        <f>+A6+1</f>
        <v>100002</v>
      </c>
      <c r="B7" s="22" t="s">
        <v>16</v>
      </c>
      <c r="C7" s="10"/>
      <c r="D7" s="26">
        <v>7702011011186</v>
      </c>
      <c r="E7" s="10" t="s">
        <v>38</v>
      </c>
      <c r="F7" s="24" t="s">
        <v>39</v>
      </c>
      <c r="G7" s="24" t="s">
        <v>40</v>
      </c>
      <c r="H7" s="24">
        <v>0.02</v>
      </c>
      <c r="I7" s="24">
        <f t="shared" ref="I7:I8" si="0">+H7*24</f>
        <v>0.48</v>
      </c>
      <c r="J7" s="24" t="s">
        <v>216</v>
      </c>
      <c r="K7" s="593">
        <f t="shared" ref="K7:K22" si="1">+I7*20</f>
        <v>9.6</v>
      </c>
      <c r="L7" s="590">
        <f t="shared" ref="L7:L37" si="2">0.5*0.7*0.6</f>
        <v>0.21</v>
      </c>
      <c r="M7" s="593">
        <v>1.5</v>
      </c>
      <c r="N7" s="593">
        <f t="shared" ref="N7:N53" si="3">+M7+K7</f>
        <v>11.1</v>
      </c>
      <c r="O7" s="25">
        <v>4910</v>
      </c>
      <c r="R7" s="1" t="s">
        <v>21</v>
      </c>
    </row>
    <row r="8" spans="1:18" x14ac:dyDescent="0.25">
      <c r="A8" s="10">
        <f t="shared" ref="A8:A53" si="4">+A7+1</f>
        <v>100003</v>
      </c>
      <c r="B8" s="22" t="s">
        <v>17</v>
      </c>
      <c r="C8" s="10"/>
      <c r="D8" s="26">
        <v>7702354008604</v>
      </c>
      <c r="E8" s="10" t="s">
        <v>38</v>
      </c>
      <c r="F8" s="24" t="s">
        <v>39</v>
      </c>
      <c r="G8" s="24" t="s">
        <v>40</v>
      </c>
      <c r="H8" s="24">
        <v>1.4999999999999999E-2</v>
      </c>
      <c r="I8" s="24">
        <f t="shared" si="0"/>
        <v>0.36</v>
      </c>
      <c r="J8" s="24" t="s">
        <v>216</v>
      </c>
      <c r="K8" s="593">
        <f t="shared" si="1"/>
        <v>7.1999999999999993</v>
      </c>
      <c r="L8" s="590">
        <f t="shared" si="2"/>
        <v>0.21</v>
      </c>
      <c r="M8" s="593">
        <v>1.5</v>
      </c>
      <c r="N8" s="593">
        <f t="shared" si="3"/>
        <v>8.6999999999999993</v>
      </c>
      <c r="O8" s="25">
        <v>6000</v>
      </c>
      <c r="R8" s="1" t="s">
        <v>21</v>
      </c>
    </row>
    <row r="9" spans="1:18" x14ac:dyDescent="0.25">
      <c r="A9" s="10">
        <f t="shared" si="4"/>
        <v>100004</v>
      </c>
      <c r="B9" s="22" t="s">
        <v>18</v>
      </c>
      <c r="C9" s="583"/>
      <c r="D9" s="584">
        <v>7002011001719</v>
      </c>
      <c r="E9" s="10" t="s">
        <v>38</v>
      </c>
      <c r="F9" s="24" t="s">
        <v>39</v>
      </c>
      <c r="G9" s="24" t="s">
        <v>41</v>
      </c>
      <c r="H9" s="24">
        <v>4.0000000000000001E-3</v>
      </c>
      <c r="I9" s="24">
        <f>+H9*100</f>
        <v>0.4</v>
      </c>
      <c r="J9" s="24" t="s">
        <v>216</v>
      </c>
      <c r="K9" s="593">
        <f t="shared" si="1"/>
        <v>8</v>
      </c>
      <c r="L9" s="590">
        <f t="shared" si="2"/>
        <v>0.21</v>
      </c>
      <c r="M9" s="593">
        <v>1.5</v>
      </c>
      <c r="N9" s="593">
        <f t="shared" si="3"/>
        <v>9.5</v>
      </c>
      <c r="O9" s="25">
        <v>5130</v>
      </c>
      <c r="R9" s="1" t="s">
        <v>21</v>
      </c>
    </row>
    <row r="10" spans="1:18" x14ac:dyDescent="0.25">
      <c r="A10" s="10">
        <f t="shared" si="4"/>
        <v>100005</v>
      </c>
      <c r="B10" s="22" t="s">
        <v>19</v>
      </c>
      <c r="C10" s="10"/>
      <c r="D10" s="584">
        <v>7002011001672</v>
      </c>
      <c r="E10" s="10" t="s">
        <v>38</v>
      </c>
      <c r="F10" s="24" t="s">
        <v>39</v>
      </c>
      <c r="G10" s="24" t="s">
        <v>41</v>
      </c>
      <c r="H10" s="24">
        <v>4.0000000000000001E-3</v>
      </c>
      <c r="I10" s="24">
        <f t="shared" ref="I10:I11" si="5">+H10*100</f>
        <v>0.4</v>
      </c>
      <c r="J10" s="24" t="s">
        <v>216</v>
      </c>
      <c r="K10" s="593">
        <f t="shared" si="1"/>
        <v>8</v>
      </c>
      <c r="L10" s="590">
        <f t="shared" si="2"/>
        <v>0.21</v>
      </c>
      <c r="M10" s="593">
        <v>1.5</v>
      </c>
      <c r="N10" s="593">
        <f t="shared" si="3"/>
        <v>9.5</v>
      </c>
      <c r="O10" s="25">
        <v>8550</v>
      </c>
    </row>
    <row r="11" spans="1:18" x14ac:dyDescent="0.25">
      <c r="A11" s="10">
        <f t="shared" si="4"/>
        <v>100006</v>
      </c>
      <c r="B11" s="22" t="s">
        <v>42</v>
      </c>
      <c r="C11" s="10"/>
      <c r="D11" s="26">
        <v>7702011001764</v>
      </c>
      <c r="E11" s="10" t="s">
        <v>38</v>
      </c>
      <c r="F11" s="24" t="s">
        <v>39</v>
      </c>
      <c r="G11" s="24" t="s">
        <v>41</v>
      </c>
      <c r="H11" s="24">
        <v>4.0000000000000001E-3</v>
      </c>
      <c r="I11" s="24">
        <f t="shared" si="5"/>
        <v>0.4</v>
      </c>
      <c r="J11" s="24" t="s">
        <v>216</v>
      </c>
      <c r="K11" s="593">
        <f t="shared" si="1"/>
        <v>8</v>
      </c>
      <c r="L11" s="590">
        <f t="shared" si="2"/>
        <v>0.21</v>
      </c>
      <c r="M11" s="593">
        <v>1.5</v>
      </c>
      <c r="N11" s="593">
        <f t="shared" si="3"/>
        <v>9.5</v>
      </c>
      <c r="O11" s="25">
        <v>10100</v>
      </c>
    </row>
    <row r="12" spans="1:18" x14ac:dyDescent="0.25">
      <c r="A12" s="10">
        <f t="shared" si="4"/>
        <v>100007</v>
      </c>
      <c r="B12" s="10" t="s">
        <v>43</v>
      </c>
      <c r="C12" s="10" t="s">
        <v>44</v>
      </c>
      <c r="D12" s="27" t="s">
        <v>45</v>
      </c>
      <c r="E12" s="10" t="s">
        <v>46</v>
      </c>
      <c r="F12" s="24" t="s">
        <v>39</v>
      </c>
      <c r="G12" s="24" t="s">
        <v>44</v>
      </c>
      <c r="H12" s="24">
        <v>0.01</v>
      </c>
      <c r="I12" s="24">
        <f>+H12*8</f>
        <v>0.08</v>
      </c>
      <c r="J12" s="24" t="s">
        <v>215</v>
      </c>
      <c r="K12" s="593">
        <f>+I12*25</f>
        <v>2</v>
      </c>
      <c r="L12" s="590">
        <f t="shared" si="2"/>
        <v>0.21</v>
      </c>
      <c r="M12" s="593">
        <v>1.5</v>
      </c>
      <c r="N12" s="593">
        <f t="shared" si="3"/>
        <v>3.5</v>
      </c>
      <c r="O12" s="25">
        <v>2340</v>
      </c>
    </row>
    <row r="13" spans="1:18" x14ac:dyDescent="0.25">
      <c r="A13" s="10">
        <f t="shared" si="4"/>
        <v>100008</v>
      </c>
      <c r="B13" s="10" t="s">
        <v>47</v>
      </c>
      <c r="C13" s="10" t="s">
        <v>48</v>
      </c>
      <c r="D13" s="27" t="s">
        <v>49</v>
      </c>
      <c r="E13" s="10" t="s">
        <v>46</v>
      </c>
      <c r="F13" s="24" t="s">
        <v>39</v>
      </c>
      <c r="G13" s="24" t="s">
        <v>48</v>
      </c>
      <c r="H13" s="24">
        <v>0.01</v>
      </c>
      <c r="I13" s="24">
        <f>+H13*9</f>
        <v>0.09</v>
      </c>
      <c r="J13" s="24" t="s">
        <v>215</v>
      </c>
      <c r="K13" s="593">
        <f t="shared" ref="K13:K15" si="6">+I13*25</f>
        <v>2.25</v>
      </c>
      <c r="L13" s="590">
        <f t="shared" si="2"/>
        <v>0.21</v>
      </c>
      <c r="M13" s="593">
        <v>1.5</v>
      </c>
      <c r="N13" s="593">
        <f t="shared" si="3"/>
        <v>3.75</v>
      </c>
      <c r="O13" s="25">
        <v>2340</v>
      </c>
    </row>
    <row r="14" spans="1:18" x14ac:dyDescent="0.25">
      <c r="A14" s="10">
        <f t="shared" si="4"/>
        <v>100009</v>
      </c>
      <c r="B14" s="10" t="s">
        <v>50</v>
      </c>
      <c r="C14" s="10" t="s">
        <v>51</v>
      </c>
      <c r="D14" s="28"/>
      <c r="E14" s="10" t="s">
        <v>46</v>
      </c>
      <c r="F14" s="24" t="s">
        <v>39</v>
      </c>
      <c r="G14" s="24" t="s">
        <v>51</v>
      </c>
      <c r="H14" s="24">
        <v>0.01</v>
      </c>
      <c r="I14" s="24">
        <f>+H14*10</f>
        <v>0.1</v>
      </c>
      <c r="J14" s="24" t="s">
        <v>215</v>
      </c>
      <c r="K14" s="593">
        <f t="shared" si="6"/>
        <v>2.5</v>
      </c>
      <c r="L14" s="590">
        <f t="shared" si="2"/>
        <v>0.21</v>
      </c>
      <c r="M14" s="593">
        <v>1.5</v>
      </c>
      <c r="N14" s="593">
        <f t="shared" si="3"/>
        <v>4</v>
      </c>
      <c r="O14" s="25">
        <v>2240</v>
      </c>
    </row>
    <row r="15" spans="1:18" x14ac:dyDescent="0.25">
      <c r="A15" s="10">
        <f t="shared" si="4"/>
        <v>100010</v>
      </c>
      <c r="B15" s="10" t="s">
        <v>52</v>
      </c>
      <c r="C15" s="10"/>
      <c r="D15" s="28"/>
      <c r="E15" s="10" t="s">
        <v>46</v>
      </c>
      <c r="F15" s="24" t="s">
        <v>39</v>
      </c>
      <c r="G15" s="24" t="s">
        <v>210</v>
      </c>
      <c r="H15" s="24">
        <v>1.4999999999999999E-2</v>
      </c>
      <c r="I15" s="24">
        <f>+H15*24</f>
        <v>0.36</v>
      </c>
      <c r="J15" s="24" t="s">
        <v>215</v>
      </c>
      <c r="K15" s="593">
        <f t="shared" si="6"/>
        <v>9</v>
      </c>
      <c r="L15" s="590">
        <f t="shared" si="2"/>
        <v>0.21</v>
      </c>
      <c r="M15" s="593">
        <v>1.5</v>
      </c>
      <c r="N15" s="593">
        <f t="shared" si="3"/>
        <v>10.5</v>
      </c>
      <c r="O15" s="25"/>
    </row>
    <row r="16" spans="1:18" x14ac:dyDescent="0.25">
      <c r="A16" s="10">
        <f t="shared" si="4"/>
        <v>100011</v>
      </c>
      <c r="B16" s="10" t="s">
        <v>53</v>
      </c>
      <c r="C16" s="10" t="s">
        <v>51</v>
      </c>
      <c r="D16" s="27" t="s">
        <v>54</v>
      </c>
      <c r="E16" s="10" t="s">
        <v>46</v>
      </c>
      <c r="F16" s="24" t="s">
        <v>39</v>
      </c>
      <c r="G16" s="24" t="s">
        <v>51</v>
      </c>
      <c r="H16" s="24">
        <v>1.4999999999999999E-2</v>
      </c>
      <c r="I16" s="24">
        <f>+H16*10</f>
        <v>0.15</v>
      </c>
      <c r="J16" s="24" t="s">
        <v>216</v>
      </c>
      <c r="K16" s="593">
        <f t="shared" si="1"/>
        <v>3</v>
      </c>
      <c r="L16" s="590">
        <f t="shared" si="2"/>
        <v>0.21</v>
      </c>
      <c r="M16" s="593">
        <v>1.5</v>
      </c>
      <c r="N16" s="593">
        <f t="shared" si="3"/>
        <v>4.5</v>
      </c>
      <c r="O16" s="25">
        <v>1260</v>
      </c>
    </row>
    <row r="17" spans="1:15" x14ac:dyDescent="0.25">
      <c r="A17" s="10">
        <f t="shared" si="4"/>
        <v>100012</v>
      </c>
      <c r="B17" s="10" t="s">
        <v>55</v>
      </c>
      <c r="C17" s="10" t="s">
        <v>56</v>
      </c>
      <c r="D17" s="27"/>
      <c r="E17" s="10" t="s">
        <v>46</v>
      </c>
      <c r="F17" s="24" t="s">
        <v>39</v>
      </c>
      <c r="G17" s="24" t="s">
        <v>56</v>
      </c>
      <c r="H17" s="24">
        <v>1.4999999999999999E-2</v>
      </c>
      <c r="I17" s="24">
        <f>+H17*6</f>
        <v>0.09</v>
      </c>
      <c r="J17" s="24" t="s">
        <v>216</v>
      </c>
      <c r="K17" s="593">
        <f t="shared" si="1"/>
        <v>1.7999999999999998</v>
      </c>
      <c r="L17" s="590">
        <f t="shared" si="2"/>
        <v>0.21</v>
      </c>
      <c r="M17" s="593">
        <v>1.5</v>
      </c>
      <c r="N17" s="593">
        <f t="shared" si="3"/>
        <v>3.3</v>
      </c>
      <c r="O17" s="25">
        <v>1260</v>
      </c>
    </row>
    <row r="18" spans="1:15" x14ac:dyDescent="0.25">
      <c r="A18" s="10">
        <f t="shared" si="4"/>
        <v>100013</v>
      </c>
      <c r="B18" s="10" t="s">
        <v>57</v>
      </c>
      <c r="C18" s="10" t="s">
        <v>56</v>
      </c>
      <c r="D18" s="27" t="s">
        <v>58</v>
      </c>
      <c r="E18" s="10" t="s">
        <v>46</v>
      </c>
      <c r="F18" s="24" t="s">
        <v>39</v>
      </c>
      <c r="G18" s="24" t="s">
        <v>56</v>
      </c>
      <c r="H18" s="24">
        <v>0.03</v>
      </c>
      <c r="I18" s="24">
        <f>+H18*6</f>
        <v>0.18</v>
      </c>
      <c r="J18" s="24" t="s">
        <v>218</v>
      </c>
      <c r="K18" s="593">
        <f t="shared" si="1"/>
        <v>3.5999999999999996</v>
      </c>
      <c r="L18" s="590">
        <f t="shared" si="2"/>
        <v>0.21</v>
      </c>
      <c r="M18" s="593">
        <v>1.5</v>
      </c>
      <c r="N18" s="593">
        <f t="shared" si="3"/>
        <v>5.0999999999999996</v>
      </c>
      <c r="O18" s="25">
        <v>2710</v>
      </c>
    </row>
    <row r="19" spans="1:15" x14ac:dyDescent="0.25">
      <c r="A19" s="10">
        <f t="shared" si="4"/>
        <v>100014</v>
      </c>
      <c r="B19" s="10" t="s">
        <v>59</v>
      </c>
      <c r="C19" s="10" t="s">
        <v>60</v>
      </c>
      <c r="D19" s="27" t="s">
        <v>61</v>
      </c>
      <c r="E19" s="10" t="s">
        <v>46</v>
      </c>
      <c r="F19" s="24" t="s">
        <v>39</v>
      </c>
      <c r="G19" s="24" t="s">
        <v>60</v>
      </c>
      <c r="H19" s="24">
        <v>0.08</v>
      </c>
      <c r="I19" s="24">
        <f>+H19*7</f>
        <v>0.56000000000000005</v>
      </c>
      <c r="J19" s="24" t="s">
        <v>219</v>
      </c>
      <c r="K19" s="593">
        <f t="shared" si="1"/>
        <v>11.200000000000001</v>
      </c>
      <c r="L19" s="590">
        <f>0.5*0.7*1</f>
        <v>0.35</v>
      </c>
      <c r="M19" s="24">
        <v>1.8</v>
      </c>
      <c r="N19" s="593">
        <f t="shared" si="3"/>
        <v>13.000000000000002</v>
      </c>
      <c r="O19" s="25">
        <v>1480</v>
      </c>
    </row>
    <row r="20" spans="1:15" x14ac:dyDescent="0.25">
      <c r="A20" s="10">
        <f t="shared" si="4"/>
        <v>100015</v>
      </c>
      <c r="B20" s="29" t="s">
        <v>62</v>
      </c>
      <c r="C20" s="10">
        <v>1</v>
      </c>
      <c r="D20" s="23">
        <v>7702011012401</v>
      </c>
      <c r="E20" s="10" t="s">
        <v>63</v>
      </c>
      <c r="F20" s="24" t="s">
        <v>39</v>
      </c>
      <c r="G20" s="24" t="s">
        <v>220</v>
      </c>
      <c r="H20" s="24">
        <v>2.5000000000000001E-2</v>
      </c>
      <c r="I20" s="24">
        <f>+H20*24</f>
        <v>0.60000000000000009</v>
      </c>
      <c r="J20" s="24" t="s">
        <v>216</v>
      </c>
      <c r="K20" s="593">
        <f t="shared" si="1"/>
        <v>12.000000000000002</v>
      </c>
      <c r="L20" s="590">
        <f t="shared" si="2"/>
        <v>0.21</v>
      </c>
      <c r="M20" s="593">
        <v>1.5</v>
      </c>
      <c r="N20" s="593">
        <f t="shared" si="3"/>
        <v>13.500000000000002</v>
      </c>
      <c r="O20" s="25">
        <v>2360</v>
      </c>
    </row>
    <row r="21" spans="1:15" x14ac:dyDescent="0.25">
      <c r="A21" s="10">
        <f t="shared" si="4"/>
        <v>100016</v>
      </c>
      <c r="B21" s="29" t="s">
        <v>65</v>
      </c>
      <c r="C21" s="10">
        <v>1</v>
      </c>
      <c r="D21" s="28"/>
      <c r="E21" s="10" t="s">
        <v>63</v>
      </c>
      <c r="F21" s="24" t="s">
        <v>39</v>
      </c>
      <c r="G21" s="24" t="s">
        <v>210</v>
      </c>
      <c r="H21" s="24">
        <v>0.02</v>
      </c>
      <c r="I21" s="24">
        <f>+H21*24</f>
        <v>0.48</v>
      </c>
      <c r="J21" s="24" t="s">
        <v>218</v>
      </c>
      <c r="K21" s="593">
        <f t="shared" si="1"/>
        <v>9.6</v>
      </c>
      <c r="L21" s="590">
        <f t="shared" si="2"/>
        <v>0.21</v>
      </c>
      <c r="M21" s="593">
        <v>1.5</v>
      </c>
      <c r="N21" s="593">
        <f t="shared" si="3"/>
        <v>11.1</v>
      </c>
      <c r="O21" s="25"/>
    </row>
    <row r="22" spans="1:15" x14ac:dyDescent="0.25">
      <c r="A22" s="10">
        <f t="shared" si="4"/>
        <v>100017</v>
      </c>
      <c r="B22" s="29" t="s">
        <v>66</v>
      </c>
      <c r="C22" s="10">
        <v>1</v>
      </c>
      <c r="D22" s="26">
        <v>7702011039293</v>
      </c>
      <c r="E22" s="10" t="s">
        <v>63</v>
      </c>
      <c r="F22" s="24" t="s">
        <v>39</v>
      </c>
      <c r="G22" s="24" t="s">
        <v>221</v>
      </c>
      <c r="H22" s="24">
        <v>4.0000000000000001E-3</v>
      </c>
      <c r="I22" s="24">
        <f>+H22*50</f>
        <v>0.2</v>
      </c>
      <c r="J22" s="24" t="s">
        <v>218</v>
      </c>
      <c r="K22" s="593">
        <f t="shared" si="1"/>
        <v>4</v>
      </c>
      <c r="L22" s="590">
        <f t="shared" si="2"/>
        <v>0.21</v>
      </c>
      <c r="M22" s="593">
        <v>1.5</v>
      </c>
      <c r="N22" s="593">
        <f t="shared" si="3"/>
        <v>5.5</v>
      </c>
      <c r="O22" s="25">
        <v>3590</v>
      </c>
    </row>
    <row r="23" spans="1:15" x14ac:dyDescent="0.25">
      <c r="A23" s="10">
        <f t="shared" si="4"/>
        <v>100018</v>
      </c>
      <c r="B23" s="29" t="s">
        <v>68</v>
      </c>
      <c r="C23" s="10">
        <v>1</v>
      </c>
      <c r="D23" s="26">
        <v>7702011013828</v>
      </c>
      <c r="E23" s="10" t="s">
        <v>63</v>
      </c>
      <c r="F23" s="24" t="s">
        <v>39</v>
      </c>
      <c r="G23" s="24" t="s">
        <v>69</v>
      </c>
      <c r="H23" s="24">
        <v>0.01</v>
      </c>
      <c r="I23" s="24">
        <f>+H23*12</f>
        <v>0.12</v>
      </c>
      <c r="J23" s="24" t="s">
        <v>215</v>
      </c>
      <c r="K23" s="593">
        <f t="shared" ref="K23" si="7">+I23*25</f>
        <v>3</v>
      </c>
      <c r="L23" s="590">
        <f t="shared" si="2"/>
        <v>0.21</v>
      </c>
      <c r="M23" s="593">
        <v>1.5</v>
      </c>
      <c r="N23" s="593">
        <f t="shared" si="3"/>
        <v>4.5</v>
      </c>
      <c r="O23" s="25">
        <v>12330</v>
      </c>
    </row>
    <row r="24" spans="1:15" x14ac:dyDescent="0.25">
      <c r="A24" s="10">
        <f t="shared" si="4"/>
        <v>100019</v>
      </c>
      <c r="B24" s="29" t="s">
        <v>70</v>
      </c>
      <c r="C24" s="10">
        <v>1</v>
      </c>
      <c r="D24" s="26">
        <v>7707211630912</v>
      </c>
      <c r="E24" s="10" t="s">
        <v>63</v>
      </c>
      <c r="F24" s="24" t="s">
        <v>39</v>
      </c>
      <c r="G24" s="24" t="s">
        <v>71</v>
      </c>
      <c r="H24" s="24">
        <v>8.5000000000000006E-2</v>
      </c>
      <c r="I24" s="24">
        <v>8.5000000000000006E-2</v>
      </c>
      <c r="J24" s="24" t="s">
        <v>214</v>
      </c>
      <c r="K24" s="593">
        <f>+I24*12</f>
        <v>1.02</v>
      </c>
      <c r="L24" s="590">
        <f>0.1*0.4*0.3</f>
        <v>1.2000000000000002E-2</v>
      </c>
      <c r="M24" s="593">
        <v>1.5</v>
      </c>
      <c r="N24" s="593">
        <f t="shared" si="3"/>
        <v>2.52</v>
      </c>
      <c r="O24" s="25">
        <v>7480</v>
      </c>
    </row>
    <row r="25" spans="1:15" x14ac:dyDescent="0.25">
      <c r="A25" s="10">
        <f t="shared" si="4"/>
        <v>100020</v>
      </c>
      <c r="B25" s="29" t="s">
        <v>72</v>
      </c>
      <c r="C25" s="10"/>
      <c r="D25" s="28"/>
      <c r="E25" s="10" t="s">
        <v>63</v>
      </c>
      <c r="F25" s="24" t="s">
        <v>39</v>
      </c>
      <c r="G25" s="24" t="s">
        <v>226</v>
      </c>
      <c r="H25" s="24">
        <v>3.5000000000000003E-2</v>
      </c>
      <c r="I25" s="24">
        <f>+H25*24</f>
        <v>0.84000000000000008</v>
      </c>
      <c r="J25" s="24" t="s">
        <v>224</v>
      </c>
      <c r="K25" s="593">
        <f>+I25*8</f>
        <v>6.7200000000000006</v>
      </c>
      <c r="L25" s="590">
        <f t="shared" si="2"/>
        <v>0.21</v>
      </c>
      <c r="M25" s="593">
        <v>1.5</v>
      </c>
      <c r="N25" s="593">
        <f t="shared" si="3"/>
        <v>8.2200000000000006</v>
      </c>
      <c r="O25" s="25"/>
    </row>
    <row r="26" spans="1:15" x14ac:dyDescent="0.25">
      <c r="A26" s="10">
        <f t="shared" si="4"/>
        <v>100021</v>
      </c>
      <c r="B26" s="22" t="s">
        <v>73</v>
      </c>
      <c r="C26" s="10" t="s">
        <v>74</v>
      </c>
      <c r="D26" s="30">
        <v>722008504914</v>
      </c>
      <c r="E26" s="10" t="s">
        <v>75</v>
      </c>
      <c r="F26" s="24" t="s">
        <v>39</v>
      </c>
      <c r="G26" s="24" t="s">
        <v>211</v>
      </c>
      <c r="H26" s="24">
        <v>0.42499999999999999</v>
      </c>
      <c r="I26" s="24">
        <f t="shared" ref="I26:I32" si="8">+H26*6</f>
        <v>2.5499999999999998</v>
      </c>
      <c r="J26" s="24" t="s">
        <v>223</v>
      </c>
      <c r="K26" s="593">
        <f>+I26*4</f>
        <v>10.199999999999999</v>
      </c>
      <c r="L26" s="590">
        <f t="shared" si="2"/>
        <v>0.21</v>
      </c>
      <c r="M26" s="593">
        <v>1.5</v>
      </c>
      <c r="N26" s="593">
        <f t="shared" si="3"/>
        <v>11.7</v>
      </c>
      <c r="O26" s="25"/>
    </row>
    <row r="27" spans="1:15" x14ac:dyDescent="0.25">
      <c r="A27" s="10">
        <f t="shared" si="4"/>
        <v>100022</v>
      </c>
      <c r="B27" s="22" t="s">
        <v>76</v>
      </c>
      <c r="C27" s="10" t="s">
        <v>77</v>
      </c>
      <c r="D27" s="28"/>
      <c r="E27" s="10" t="s">
        <v>75</v>
      </c>
      <c r="F27" s="24" t="s">
        <v>39</v>
      </c>
      <c r="G27" s="24" t="s">
        <v>211</v>
      </c>
      <c r="H27" s="24">
        <v>0.29799999999999999</v>
      </c>
      <c r="I27" s="24">
        <f t="shared" si="8"/>
        <v>1.7879999999999998</v>
      </c>
      <c r="J27" s="24" t="s">
        <v>223</v>
      </c>
      <c r="K27" s="593">
        <f t="shared" ref="K27:K32" si="9">+I27*4</f>
        <v>7.1519999999999992</v>
      </c>
      <c r="L27" s="590">
        <f t="shared" si="2"/>
        <v>0.21</v>
      </c>
      <c r="M27" s="593">
        <v>1.5</v>
      </c>
      <c r="N27" s="593">
        <f t="shared" si="3"/>
        <v>8.6519999999999992</v>
      </c>
      <c r="O27" s="25"/>
    </row>
    <row r="28" spans="1:15" x14ac:dyDescent="0.25">
      <c r="A28" s="10">
        <f t="shared" si="4"/>
        <v>100023</v>
      </c>
      <c r="B28" s="22" t="s">
        <v>78</v>
      </c>
      <c r="C28" s="10" t="s">
        <v>79</v>
      </c>
      <c r="D28" s="26">
        <v>722008000317</v>
      </c>
      <c r="E28" s="10" t="s">
        <v>75</v>
      </c>
      <c r="F28" s="24" t="s">
        <v>39</v>
      </c>
      <c r="G28" s="24" t="s">
        <v>211</v>
      </c>
      <c r="H28" s="24">
        <v>0.17</v>
      </c>
      <c r="I28" s="24">
        <f t="shared" si="8"/>
        <v>1.02</v>
      </c>
      <c r="J28" s="24" t="s">
        <v>223</v>
      </c>
      <c r="K28" s="593">
        <f t="shared" si="9"/>
        <v>4.08</v>
      </c>
      <c r="L28" s="590">
        <f t="shared" si="2"/>
        <v>0.21</v>
      </c>
      <c r="M28" s="593">
        <v>1.5</v>
      </c>
      <c r="N28" s="593">
        <f t="shared" si="3"/>
        <v>5.58</v>
      </c>
      <c r="O28" s="25"/>
    </row>
    <row r="29" spans="1:15" x14ac:dyDescent="0.25">
      <c r="A29" s="10">
        <f t="shared" si="4"/>
        <v>100024</v>
      </c>
      <c r="B29" s="31" t="s">
        <v>80</v>
      </c>
      <c r="C29" s="10" t="s">
        <v>81</v>
      </c>
      <c r="D29" s="26">
        <v>7702367000022</v>
      </c>
      <c r="E29" s="10" t="s">
        <v>75</v>
      </c>
      <c r="F29" s="24" t="s">
        <v>39</v>
      </c>
      <c r="G29" s="24" t="s">
        <v>211</v>
      </c>
      <c r="H29" s="24">
        <v>0.184</v>
      </c>
      <c r="I29" s="24">
        <f t="shared" si="8"/>
        <v>1.1040000000000001</v>
      </c>
      <c r="J29" s="24" t="s">
        <v>223</v>
      </c>
      <c r="K29" s="593">
        <f t="shared" si="9"/>
        <v>4.4160000000000004</v>
      </c>
      <c r="L29" s="590">
        <f t="shared" si="2"/>
        <v>0.21</v>
      </c>
      <c r="M29" s="593">
        <v>1.5</v>
      </c>
      <c r="N29" s="593">
        <f t="shared" si="3"/>
        <v>5.9160000000000004</v>
      </c>
      <c r="O29" s="25"/>
    </row>
    <row r="30" spans="1:15" x14ac:dyDescent="0.25">
      <c r="A30" s="10">
        <f t="shared" si="4"/>
        <v>100025</v>
      </c>
      <c r="B30" s="31" t="s">
        <v>82</v>
      </c>
      <c r="C30" s="10" t="s">
        <v>83</v>
      </c>
      <c r="D30" s="26">
        <v>7702367000763</v>
      </c>
      <c r="E30" s="10" t="s">
        <v>75</v>
      </c>
      <c r="F30" s="24" t="s">
        <v>39</v>
      </c>
      <c r="G30" s="24" t="s">
        <v>211</v>
      </c>
      <c r="H30" s="24">
        <v>0.35399999999999998</v>
      </c>
      <c r="I30" s="24">
        <f t="shared" si="8"/>
        <v>2.1239999999999997</v>
      </c>
      <c r="J30" s="24" t="s">
        <v>223</v>
      </c>
      <c r="K30" s="593">
        <f t="shared" si="9"/>
        <v>8.4959999999999987</v>
      </c>
      <c r="L30" s="590">
        <f t="shared" si="2"/>
        <v>0.21</v>
      </c>
      <c r="M30" s="593">
        <v>1.5</v>
      </c>
      <c r="N30" s="593">
        <f t="shared" si="3"/>
        <v>9.9959999999999987</v>
      </c>
      <c r="O30" s="25"/>
    </row>
    <row r="31" spans="1:15" x14ac:dyDescent="0.25">
      <c r="A31" s="10">
        <f t="shared" si="4"/>
        <v>100026</v>
      </c>
      <c r="B31" s="31" t="s">
        <v>84</v>
      </c>
      <c r="C31" s="10" t="s">
        <v>81</v>
      </c>
      <c r="D31" s="26">
        <v>770236000015</v>
      </c>
      <c r="E31" s="10" t="s">
        <v>75</v>
      </c>
      <c r="F31" s="24" t="s">
        <v>39</v>
      </c>
      <c r="G31" s="24" t="s">
        <v>211</v>
      </c>
      <c r="H31" s="24">
        <v>0.184</v>
      </c>
      <c r="I31" s="24">
        <f t="shared" si="8"/>
        <v>1.1040000000000001</v>
      </c>
      <c r="J31" s="24" t="s">
        <v>223</v>
      </c>
      <c r="K31" s="593">
        <f t="shared" si="9"/>
        <v>4.4160000000000004</v>
      </c>
      <c r="L31" s="590">
        <f t="shared" si="2"/>
        <v>0.21</v>
      </c>
      <c r="M31" s="593">
        <v>1.5</v>
      </c>
      <c r="N31" s="593">
        <f t="shared" si="3"/>
        <v>5.9160000000000004</v>
      </c>
      <c r="O31" s="25"/>
    </row>
    <row r="32" spans="1:15" x14ac:dyDescent="0.25">
      <c r="A32" s="10">
        <f t="shared" si="4"/>
        <v>100027</v>
      </c>
      <c r="B32" s="31" t="s">
        <v>85</v>
      </c>
      <c r="C32" s="10" t="s">
        <v>83</v>
      </c>
      <c r="D32" s="28"/>
      <c r="E32" s="10" t="s">
        <v>75</v>
      </c>
      <c r="F32" s="24" t="s">
        <v>39</v>
      </c>
      <c r="G32" s="24" t="s">
        <v>211</v>
      </c>
      <c r="H32" s="24">
        <v>0.35399999999999998</v>
      </c>
      <c r="I32" s="24">
        <f t="shared" si="8"/>
        <v>2.1239999999999997</v>
      </c>
      <c r="J32" s="24" t="s">
        <v>223</v>
      </c>
      <c r="K32" s="593">
        <f t="shared" si="9"/>
        <v>8.4959999999999987</v>
      </c>
      <c r="L32" s="590">
        <f t="shared" si="2"/>
        <v>0.21</v>
      </c>
      <c r="M32" s="593">
        <v>1.5</v>
      </c>
      <c r="N32" s="593">
        <f t="shared" si="3"/>
        <v>9.9959999999999987</v>
      </c>
      <c r="O32" s="25"/>
    </row>
    <row r="33" spans="1:15" x14ac:dyDescent="0.25">
      <c r="A33" s="10">
        <f t="shared" si="4"/>
        <v>100028</v>
      </c>
      <c r="B33" s="31" t="s">
        <v>86</v>
      </c>
      <c r="C33" s="10" t="s">
        <v>87</v>
      </c>
      <c r="D33" s="28"/>
      <c r="E33" s="10" t="s">
        <v>88</v>
      </c>
      <c r="F33" s="24" t="s">
        <v>39</v>
      </c>
      <c r="G33" s="24" t="s">
        <v>220</v>
      </c>
      <c r="H33" s="24">
        <v>0.05</v>
      </c>
      <c r="I33" s="24">
        <f>+H33*24</f>
        <v>1.2000000000000002</v>
      </c>
      <c r="J33" s="24" t="s">
        <v>216</v>
      </c>
      <c r="K33" s="593">
        <f>+I33*20</f>
        <v>24.000000000000004</v>
      </c>
      <c r="L33" s="590">
        <f t="shared" si="2"/>
        <v>0.21</v>
      </c>
      <c r="M33" s="593">
        <v>1.5</v>
      </c>
      <c r="N33" s="593">
        <f t="shared" si="3"/>
        <v>25.500000000000004</v>
      </c>
      <c r="O33" s="25"/>
    </row>
    <row r="34" spans="1:15" x14ac:dyDescent="0.25">
      <c r="A34" s="10">
        <f t="shared" si="4"/>
        <v>100029</v>
      </c>
      <c r="B34" s="31" t="s">
        <v>89</v>
      </c>
      <c r="C34" s="10" t="s">
        <v>90</v>
      </c>
      <c r="D34" s="26">
        <v>7702097066497</v>
      </c>
      <c r="E34" s="10" t="s">
        <v>88</v>
      </c>
      <c r="F34" s="24" t="s">
        <v>39</v>
      </c>
      <c r="G34" s="24" t="s">
        <v>232</v>
      </c>
      <c r="H34" s="24">
        <v>0.25</v>
      </c>
      <c r="I34" s="24">
        <f>+H34*24</f>
        <v>6</v>
      </c>
      <c r="J34" s="24" t="s">
        <v>223</v>
      </c>
      <c r="K34" s="593">
        <f>+I34*4</f>
        <v>24</v>
      </c>
      <c r="L34" s="590">
        <f t="shared" si="2"/>
        <v>0.21</v>
      </c>
      <c r="M34" s="593">
        <v>1.5</v>
      </c>
      <c r="N34" s="593">
        <f t="shared" si="3"/>
        <v>25.5</v>
      </c>
      <c r="O34" s="32"/>
    </row>
    <row r="35" spans="1:15" x14ac:dyDescent="0.25">
      <c r="A35" s="10">
        <f t="shared" si="4"/>
        <v>100030</v>
      </c>
      <c r="B35" s="31" t="s">
        <v>91</v>
      </c>
      <c r="C35" s="22" t="s">
        <v>92</v>
      </c>
      <c r="D35" s="26">
        <v>7702097066503</v>
      </c>
      <c r="E35" s="10" t="s">
        <v>88</v>
      </c>
      <c r="F35" s="24" t="s">
        <v>39</v>
      </c>
      <c r="G35" s="34" t="s">
        <v>225</v>
      </c>
      <c r="H35" s="34">
        <v>0.5</v>
      </c>
      <c r="I35" s="24">
        <f>+H35*6</f>
        <v>3</v>
      </c>
      <c r="J35" s="24" t="s">
        <v>224</v>
      </c>
      <c r="K35" s="593">
        <f>+I35*8</f>
        <v>24</v>
      </c>
      <c r="L35" s="590">
        <f t="shared" si="2"/>
        <v>0.21</v>
      </c>
      <c r="M35" s="593">
        <v>1.5</v>
      </c>
      <c r="N35" s="593">
        <f t="shared" si="3"/>
        <v>25.5</v>
      </c>
      <c r="O35" s="32"/>
    </row>
    <row r="36" spans="1:15" x14ac:dyDescent="0.25">
      <c r="A36" s="10">
        <f t="shared" si="4"/>
        <v>100031</v>
      </c>
      <c r="B36" s="31" t="s">
        <v>93</v>
      </c>
      <c r="C36" s="22" t="s">
        <v>94</v>
      </c>
      <c r="D36" s="27"/>
      <c r="E36" s="10" t="s">
        <v>88</v>
      </c>
      <c r="F36" s="24" t="s">
        <v>39</v>
      </c>
      <c r="G36" s="34" t="s">
        <v>214</v>
      </c>
      <c r="H36" s="34">
        <v>0.3</v>
      </c>
      <c r="I36" s="24">
        <f>+H36*12</f>
        <v>3.5999999999999996</v>
      </c>
      <c r="J36" s="34" t="s">
        <v>233</v>
      </c>
      <c r="K36" s="593">
        <f>+I36*7</f>
        <v>25.199999999999996</v>
      </c>
      <c r="L36" s="590">
        <f t="shared" si="2"/>
        <v>0.21</v>
      </c>
      <c r="M36" s="593">
        <v>1.5</v>
      </c>
      <c r="N36" s="593">
        <f t="shared" si="3"/>
        <v>26.699999999999996</v>
      </c>
      <c r="O36" s="32"/>
    </row>
    <row r="37" spans="1:15" x14ac:dyDescent="0.25">
      <c r="A37" s="10">
        <f t="shared" si="4"/>
        <v>100032</v>
      </c>
      <c r="B37" s="31" t="s">
        <v>95</v>
      </c>
      <c r="C37" s="22" t="s">
        <v>96</v>
      </c>
      <c r="D37" s="26">
        <v>7702097066558</v>
      </c>
      <c r="E37" s="10" t="s">
        <v>88</v>
      </c>
      <c r="F37" s="24" t="s">
        <v>39</v>
      </c>
      <c r="G37" s="34" t="s">
        <v>215</v>
      </c>
      <c r="H37" s="34">
        <v>0.4</v>
      </c>
      <c r="I37" s="24">
        <f>+H37*25</f>
        <v>10</v>
      </c>
      <c r="J37" s="34" t="s">
        <v>234</v>
      </c>
      <c r="K37" s="593">
        <f>+I37*2</f>
        <v>20</v>
      </c>
      <c r="L37" s="590">
        <f t="shared" si="2"/>
        <v>0.21</v>
      </c>
      <c r="M37" s="593">
        <v>1.5</v>
      </c>
      <c r="N37" s="593">
        <f t="shared" si="3"/>
        <v>21.5</v>
      </c>
      <c r="O37" s="32"/>
    </row>
    <row r="38" spans="1:15" x14ac:dyDescent="0.25">
      <c r="A38" s="10">
        <f t="shared" si="4"/>
        <v>100033</v>
      </c>
      <c r="B38" s="33" t="s">
        <v>22</v>
      </c>
      <c r="C38" s="22"/>
      <c r="D38" s="27"/>
      <c r="E38" s="22" t="s">
        <v>97</v>
      </c>
      <c r="F38" s="24" t="s">
        <v>39</v>
      </c>
      <c r="G38" s="34" t="s">
        <v>98</v>
      </c>
      <c r="H38" s="34">
        <v>6.9000000000000006E-2</v>
      </c>
      <c r="I38" s="24">
        <f>+H38</f>
        <v>6.9000000000000006E-2</v>
      </c>
      <c r="J38" s="34" t="s">
        <v>216</v>
      </c>
      <c r="K38" s="593">
        <f>+I38*20</f>
        <v>1.3800000000000001</v>
      </c>
      <c r="L38" s="590">
        <f>0.1*0.4*0.3</f>
        <v>1.2000000000000002E-2</v>
      </c>
      <c r="M38" s="34">
        <v>0.75</v>
      </c>
      <c r="N38" s="593">
        <f t="shared" si="3"/>
        <v>2.13</v>
      </c>
      <c r="O38" s="32">
        <v>1910</v>
      </c>
    </row>
    <row r="39" spans="1:15" x14ac:dyDescent="0.25">
      <c r="A39" s="10">
        <f t="shared" si="4"/>
        <v>100034</v>
      </c>
      <c r="B39" s="35" t="s">
        <v>23</v>
      </c>
      <c r="C39" s="22"/>
      <c r="D39" s="27"/>
      <c r="E39" s="22" t="s">
        <v>97</v>
      </c>
      <c r="F39" s="24" t="s">
        <v>39</v>
      </c>
      <c r="G39" s="34" t="s">
        <v>99</v>
      </c>
      <c r="H39" s="34">
        <v>7.1999999999999995E-2</v>
      </c>
      <c r="I39" s="24">
        <f t="shared" ref="I39:I53" si="10">+H39</f>
        <v>7.1999999999999995E-2</v>
      </c>
      <c r="J39" s="34" t="s">
        <v>216</v>
      </c>
      <c r="K39" s="593">
        <f t="shared" ref="K39" si="11">+I39*20</f>
        <v>1.44</v>
      </c>
      <c r="L39" s="590">
        <f>0.1*0.4*0.3</f>
        <v>1.2000000000000002E-2</v>
      </c>
      <c r="M39" s="34">
        <v>0.75</v>
      </c>
      <c r="N39" s="593">
        <f t="shared" si="3"/>
        <v>2.19</v>
      </c>
      <c r="O39" s="32">
        <v>2170</v>
      </c>
    </row>
    <row r="40" spans="1:15" x14ac:dyDescent="0.25">
      <c r="A40" s="10">
        <f t="shared" si="4"/>
        <v>100035</v>
      </c>
      <c r="B40" s="35" t="s">
        <v>24</v>
      </c>
      <c r="C40" s="22"/>
      <c r="D40" s="27"/>
      <c r="E40" s="22" t="s">
        <v>97</v>
      </c>
      <c r="F40" s="24" t="s">
        <v>39</v>
      </c>
      <c r="G40" s="34" t="s">
        <v>100</v>
      </c>
      <c r="H40" s="34">
        <v>4.8000000000000001E-2</v>
      </c>
      <c r="I40" s="24">
        <f t="shared" si="10"/>
        <v>4.8000000000000001E-2</v>
      </c>
      <c r="J40" s="34" t="s">
        <v>227</v>
      </c>
      <c r="K40" s="593">
        <f>+I40*18</f>
        <v>0.86399999999999999</v>
      </c>
      <c r="L40" s="590">
        <f>0.2*0.5*0.3</f>
        <v>0.03</v>
      </c>
      <c r="M40" s="34">
        <v>1</v>
      </c>
      <c r="N40" s="593">
        <f t="shared" si="3"/>
        <v>1.8639999999999999</v>
      </c>
      <c r="O40" s="32">
        <v>1670</v>
      </c>
    </row>
    <row r="41" spans="1:15" x14ac:dyDescent="0.25">
      <c r="A41" s="10">
        <f t="shared" si="4"/>
        <v>100036</v>
      </c>
      <c r="B41" s="35" t="s">
        <v>25</v>
      </c>
      <c r="C41" s="22"/>
      <c r="D41" s="27"/>
      <c r="E41" s="22" t="s">
        <v>97</v>
      </c>
      <c r="F41" s="24" t="s">
        <v>39</v>
      </c>
      <c r="G41" s="34" t="s">
        <v>101</v>
      </c>
      <c r="H41" s="34">
        <v>6.5000000000000002E-2</v>
      </c>
      <c r="I41" s="24">
        <f t="shared" si="10"/>
        <v>6.5000000000000002E-2</v>
      </c>
      <c r="J41" s="34" t="s">
        <v>216</v>
      </c>
      <c r="K41" s="593">
        <f>+I41*20</f>
        <v>1.3</v>
      </c>
      <c r="L41" s="590">
        <f>0.1*0.4*0.3</f>
        <v>1.2000000000000002E-2</v>
      </c>
      <c r="M41" s="34">
        <v>0.75</v>
      </c>
      <c r="N41" s="593">
        <f t="shared" si="3"/>
        <v>2.0499999999999998</v>
      </c>
      <c r="O41" s="32">
        <v>1020</v>
      </c>
    </row>
    <row r="42" spans="1:15" x14ac:dyDescent="0.25">
      <c r="A42" s="10">
        <f t="shared" si="4"/>
        <v>100037</v>
      </c>
      <c r="B42" s="35" t="s">
        <v>26</v>
      </c>
      <c r="C42" s="22"/>
      <c r="D42" s="27"/>
      <c r="E42" s="22" t="s">
        <v>97</v>
      </c>
      <c r="F42" s="24" t="s">
        <v>39</v>
      </c>
      <c r="G42" s="34" t="s">
        <v>102</v>
      </c>
      <c r="H42" s="34">
        <v>8.5999999999999993E-2</v>
      </c>
      <c r="I42" s="24">
        <f t="shared" si="10"/>
        <v>8.5999999999999993E-2</v>
      </c>
      <c r="J42" s="34" t="s">
        <v>214</v>
      </c>
      <c r="K42" s="593">
        <f>+I42*12</f>
        <v>1.032</v>
      </c>
      <c r="L42" s="590">
        <f>0.1*0.4*0.3</f>
        <v>1.2000000000000002E-2</v>
      </c>
      <c r="M42" s="34">
        <v>0.75</v>
      </c>
      <c r="N42" s="593">
        <f t="shared" si="3"/>
        <v>1.782</v>
      </c>
      <c r="O42" s="32">
        <v>1430</v>
      </c>
    </row>
    <row r="43" spans="1:15" x14ac:dyDescent="0.25">
      <c r="A43" s="10">
        <f t="shared" si="4"/>
        <v>100038</v>
      </c>
      <c r="B43" s="35" t="s">
        <v>27</v>
      </c>
      <c r="C43" s="22"/>
      <c r="D43" s="27"/>
      <c r="E43" s="22" t="s">
        <v>97</v>
      </c>
      <c r="F43" s="24" t="s">
        <v>39</v>
      </c>
      <c r="G43" s="34" t="s">
        <v>103</v>
      </c>
      <c r="H43" s="34">
        <v>0.53500000000000003</v>
      </c>
      <c r="I43" s="24">
        <f t="shared" si="10"/>
        <v>0.53500000000000003</v>
      </c>
      <c r="J43" s="34" t="s">
        <v>213</v>
      </c>
      <c r="K43" s="593">
        <f>+I43*24</f>
        <v>12.84</v>
      </c>
      <c r="L43" s="590">
        <f t="shared" ref="L43:L53" si="12">0.5*0.7*0.6</f>
        <v>0.21</v>
      </c>
      <c r="M43" s="593">
        <v>1.5</v>
      </c>
      <c r="N43" s="593">
        <f t="shared" si="3"/>
        <v>14.34</v>
      </c>
      <c r="O43" s="32">
        <v>13260</v>
      </c>
    </row>
    <row r="44" spans="1:15" x14ac:dyDescent="0.25">
      <c r="A44" s="10">
        <f t="shared" si="4"/>
        <v>100039</v>
      </c>
      <c r="B44" s="35" t="s">
        <v>28</v>
      </c>
      <c r="C44" s="22"/>
      <c r="D44" s="27"/>
      <c r="E44" s="22" t="s">
        <v>97</v>
      </c>
      <c r="F44" s="24" t="s">
        <v>39</v>
      </c>
      <c r="G44" s="34" t="s">
        <v>104</v>
      </c>
      <c r="H44" s="34">
        <v>9.2999999999999999E-2</v>
      </c>
      <c r="I44" s="24">
        <f t="shared" si="10"/>
        <v>9.2999999999999999E-2</v>
      </c>
      <c r="J44" s="34" t="s">
        <v>228</v>
      </c>
      <c r="K44" s="593">
        <f>+I44*48</f>
        <v>4.4640000000000004</v>
      </c>
      <c r="L44" s="590">
        <f t="shared" si="12"/>
        <v>0.21</v>
      </c>
      <c r="M44" s="593">
        <v>1.5</v>
      </c>
      <c r="N44" s="593">
        <f t="shared" si="3"/>
        <v>5.9640000000000004</v>
      </c>
      <c r="O44" s="32">
        <v>2840</v>
      </c>
    </row>
    <row r="45" spans="1:15" x14ac:dyDescent="0.25">
      <c r="A45" s="10">
        <f t="shared" si="4"/>
        <v>100040</v>
      </c>
      <c r="B45" s="35" t="s">
        <v>29</v>
      </c>
      <c r="C45" s="22"/>
      <c r="D45" s="27"/>
      <c r="E45" s="22" t="s">
        <v>97</v>
      </c>
      <c r="F45" s="24" t="s">
        <v>39</v>
      </c>
      <c r="G45" s="34" t="s">
        <v>105</v>
      </c>
      <c r="H45" s="34">
        <v>0.05</v>
      </c>
      <c r="I45" s="24">
        <f t="shared" si="10"/>
        <v>0.05</v>
      </c>
      <c r="J45" s="34" t="s">
        <v>222</v>
      </c>
      <c r="K45" s="593">
        <f>+I45*100</f>
        <v>5</v>
      </c>
      <c r="L45" s="590">
        <f t="shared" si="12"/>
        <v>0.21</v>
      </c>
      <c r="M45" s="593">
        <v>1.5</v>
      </c>
      <c r="N45" s="593">
        <f t="shared" si="3"/>
        <v>6.5</v>
      </c>
      <c r="O45" s="32">
        <v>800</v>
      </c>
    </row>
    <row r="46" spans="1:15" x14ac:dyDescent="0.25">
      <c r="A46" s="10">
        <f t="shared" si="4"/>
        <v>100041</v>
      </c>
      <c r="B46" s="35" t="s">
        <v>106</v>
      </c>
      <c r="C46" s="36" t="s">
        <v>107</v>
      </c>
      <c r="D46" s="37">
        <v>702097032751</v>
      </c>
      <c r="E46" s="22" t="s">
        <v>108</v>
      </c>
      <c r="F46" s="24" t="s">
        <v>39</v>
      </c>
      <c r="G46" s="38" t="s">
        <v>109</v>
      </c>
      <c r="H46" s="38">
        <v>0.4</v>
      </c>
      <c r="I46" s="24">
        <f t="shared" si="10"/>
        <v>0.4</v>
      </c>
      <c r="J46" s="38" t="s">
        <v>213</v>
      </c>
      <c r="K46" s="593">
        <f>+I46*24</f>
        <v>9.6000000000000014</v>
      </c>
      <c r="L46" s="590">
        <f t="shared" si="12"/>
        <v>0.21</v>
      </c>
      <c r="M46" s="593">
        <v>1.5</v>
      </c>
      <c r="N46" s="593">
        <f t="shared" si="3"/>
        <v>11.100000000000001</v>
      </c>
      <c r="O46" s="39">
        <v>3440</v>
      </c>
    </row>
    <row r="47" spans="1:15" x14ac:dyDescent="0.25">
      <c r="A47" s="10">
        <f t="shared" si="4"/>
        <v>100042</v>
      </c>
      <c r="B47" s="35" t="s">
        <v>106</v>
      </c>
      <c r="C47" s="36" t="s">
        <v>110</v>
      </c>
      <c r="D47" s="37">
        <v>702097035424</v>
      </c>
      <c r="E47" s="22" t="s">
        <v>108</v>
      </c>
      <c r="F47" s="24" t="s">
        <v>39</v>
      </c>
      <c r="G47" s="38" t="s">
        <v>111</v>
      </c>
      <c r="H47" s="38">
        <v>0.2</v>
      </c>
      <c r="I47" s="24">
        <f t="shared" si="10"/>
        <v>0.2</v>
      </c>
      <c r="J47" s="38" t="s">
        <v>228</v>
      </c>
      <c r="K47" s="593">
        <f>+I47*48</f>
        <v>9.6000000000000014</v>
      </c>
      <c r="L47" s="590">
        <f t="shared" si="12"/>
        <v>0.21</v>
      </c>
      <c r="M47" s="593">
        <v>1.5</v>
      </c>
      <c r="N47" s="593">
        <f t="shared" si="3"/>
        <v>11.100000000000001</v>
      </c>
      <c r="O47" s="39">
        <v>2060</v>
      </c>
    </row>
    <row r="48" spans="1:15" x14ac:dyDescent="0.25">
      <c r="A48" s="10">
        <f t="shared" si="4"/>
        <v>100043</v>
      </c>
      <c r="B48" s="35" t="s">
        <v>112</v>
      </c>
      <c r="C48" s="36" t="s">
        <v>110</v>
      </c>
      <c r="D48" s="37">
        <v>702097038807</v>
      </c>
      <c r="E48" s="22" t="s">
        <v>108</v>
      </c>
      <c r="F48" s="24" t="s">
        <v>39</v>
      </c>
      <c r="G48" s="38" t="s">
        <v>111</v>
      </c>
      <c r="H48" s="38">
        <v>0.2</v>
      </c>
      <c r="I48" s="24">
        <f t="shared" si="10"/>
        <v>0.2</v>
      </c>
      <c r="J48" s="38" t="s">
        <v>228</v>
      </c>
      <c r="K48" s="593">
        <f>+I48*48</f>
        <v>9.6000000000000014</v>
      </c>
      <c r="L48" s="590">
        <f t="shared" si="12"/>
        <v>0.21</v>
      </c>
      <c r="M48" s="593">
        <v>1.5</v>
      </c>
      <c r="N48" s="593">
        <f t="shared" si="3"/>
        <v>11.100000000000001</v>
      </c>
      <c r="O48" s="39">
        <v>2810</v>
      </c>
    </row>
    <row r="49" spans="1:15" x14ac:dyDescent="0.25">
      <c r="A49" s="10">
        <f t="shared" si="4"/>
        <v>100044</v>
      </c>
      <c r="B49" s="35" t="s">
        <v>113</v>
      </c>
      <c r="C49" s="36" t="s">
        <v>114</v>
      </c>
      <c r="D49" s="37">
        <v>7020970370572</v>
      </c>
      <c r="E49" s="22" t="s">
        <v>108</v>
      </c>
      <c r="F49" s="24" t="s">
        <v>39</v>
      </c>
      <c r="G49" s="38" t="s">
        <v>115</v>
      </c>
      <c r="H49" s="38">
        <v>0.38</v>
      </c>
      <c r="I49" s="24">
        <f t="shared" si="10"/>
        <v>0.38</v>
      </c>
      <c r="J49" s="38" t="s">
        <v>213</v>
      </c>
      <c r="K49" s="593">
        <f>+I49*24</f>
        <v>9.120000000000001</v>
      </c>
      <c r="L49" s="590">
        <f t="shared" si="12"/>
        <v>0.21</v>
      </c>
      <c r="M49" s="593">
        <v>1.5</v>
      </c>
      <c r="N49" s="593">
        <f t="shared" si="3"/>
        <v>10.620000000000001</v>
      </c>
      <c r="O49" s="39">
        <v>4140</v>
      </c>
    </row>
    <row r="50" spans="1:15" x14ac:dyDescent="0.25">
      <c r="A50" s="10">
        <f t="shared" si="4"/>
        <v>100045</v>
      </c>
      <c r="B50" s="35" t="s">
        <v>116</v>
      </c>
      <c r="C50" s="36" t="s">
        <v>117</v>
      </c>
      <c r="D50" s="37">
        <v>702097036643</v>
      </c>
      <c r="E50" s="22" t="s">
        <v>108</v>
      </c>
      <c r="F50" s="24" t="s">
        <v>39</v>
      </c>
      <c r="G50" s="38" t="s">
        <v>115</v>
      </c>
      <c r="H50" s="38">
        <v>0.2</v>
      </c>
      <c r="I50" s="24">
        <f t="shared" si="10"/>
        <v>0.2</v>
      </c>
      <c r="J50" s="38" t="s">
        <v>228</v>
      </c>
      <c r="K50" s="593">
        <f t="shared" ref="K50:K51" si="13">+I50*48</f>
        <v>9.6000000000000014</v>
      </c>
      <c r="L50" s="590">
        <f t="shared" si="12"/>
        <v>0.21</v>
      </c>
      <c r="M50" s="593">
        <v>1.5</v>
      </c>
      <c r="N50" s="593">
        <f t="shared" si="3"/>
        <v>11.100000000000001</v>
      </c>
      <c r="O50" s="39">
        <v>2150</v>
      </c>
    </row>
    <row r="51" spans="1:15" x14ac:dyDescent="0.25">
      <c r="A51" s="10">
        <f t="shared" si="4"/>
        <v>100046</v>
      </c>
      <c r="B51" s="35" t="s">
        <v>118</v>
      </c>
      <c r="C51" s="36" t="s">
        <v>117</v>
      </c>
      <c r="D51" s="37">
        <v>702097036643</v>
      </c>
      <c r="E51" s="22" t="s">
        <v>108</v>
      </c>
      <c r="F51" s="24" t="s">
        <v>39</v>
      </c>
      <c r="G51" s="38" t="s">
        <v>115</v>
      </c>
      <c r="H51" s="38">
        <v>0.2</v>
      </c>
      <c r="I51" s="24">
        <f t="shared" si="10"/>
        <v>0.2</v>
      </c>
      <c r="J51" s="38" t="s">
        <v>228</v>
      </c>
      <c r="K51" s="593">
        <f t="shared" si="13"/>
        <v>9.6000000000000014</v>
      </c>
      <c r="L51" s="590">
        <f t="shared" si="12"/>
        <v>0.21</v>
      </c>
      <c r="M51" s="593">
        <v>1.5</v>
      </c>
      <c r="N51" s="593">
        <f t="shared" si="3"/>
        <v>11.100000000000001</v>
      </c>
      <c r="O51" s="39">
        <v>2150</v>
      </c>
    </row>
    <row r="52" spans="1:15" x14ac:dyDescent="0.25">
      <c r="A52" s="10">
        <f t="shared" si="4"/>
        <v>100047</v>
      </c>
      <c r="B52" s="35" t="s">
        <v>119</v>
      </c>
      <c r="C52" s="36" t="s">
        <v>120</v>
      </c>
      <c r="D52" s="37">
        <v>702097037244</v>
      </c>
      <c r="E52" s="22" t="s">
        <v>108</v>
      </c>
      <c r="F52" s="24" t="s">
        <v>39</v>
      </c>
      <c r="G52" s="40" t="s">
        <v>121</v>
      </c>
      <c r="H52" s="40">
        <v>0.32500000000000001</v>
      </c>
      <c r="I52" s="24">
        <f t="shared" si="10"/>
        <v>0.32500000000000001</v>
      </c>
      <c r="J52" s="40" t="s">
        <v>214</v>
      </c>
      <c r="K52" s="593">
        <f>+I52*12</f>
        <v>3.9000000000000004</v>
      </c>
      <c r="L52" s="590">
        <f t="shared" si="12"/>
        <v>0.21</v>
      </c>
      <c r="M52" s="593">
        <v>1.5</v>
      </c>
      <c r="N52" s="593">
        <f t="shared" si="3"/>
        <v>5.4</v>
      </c>
      <c r="O52" s="39">
        <v>4080</v>
      </c>
    </row>
    <row r="53" spans="1:15" x14ac:dyDescent="0.25">
      <c r="A53" s="10">
        <f t="shared" si="4"/>
        <v>100048</v>
      </c>
      <c r="B53" s="35" t="s">
        <v>122</v>
      </c>
      <c r="C53" s="36" t="s">
        <v>123</v>
      </c>
      <c r="D53" s="37">
        <v>702097035103</v>
      </c>
      <c r="E53" s="22" t="s">
        <v>108</v>
      </c>
      <c r="F53" s="24" t="s">
        <v>39</v>
      </c>
      <c r="G53" s="40" t="s">
        <v>124</v>
      </c>
      <c r="H53" s="40">
        <v>0.45</v>
      </c>
      <c r="I53" s="24">
        <f t="shared" si="10"/>
        <v>0.45</v>
      </c>
      <c r="J53" s="40" t="s">
        <v>214</v>
      </c>
      <c r="K53" s="593">
        <f>+I53*12</f>
        <v>5.4</v>
      </c>
      <c r="L53" s="590">
        <f t="shared" si="12"/>
        <v>0.21</v>
      </c>
      <c r="M53" s="593">
        <v>1.5</v>
      </c>
      <c r="N53" s="593">
        <f t="shared" si="3"/>
        <v>6.9</v>
      </c>
      <c r="O53" s="39">
        <v>5560</v>
      </c>
    </row>
    <row r="54" spans="1:15" x14ac:dyDescent="0.25">
      <c r="A54" s="41"/>
      <c r="B54" s="19"/>
      <c r="C54" s="19"/>
      <c r="D54" s="20"/>
      <c r="E54" s="19"/>
      <c r="F54" s="41"/>
      <c r="G54" s="585"/>
      <c r="H54" s="585"/>
      <c r="I54" s="585"/>
      <c r="J54" s="585"/>
      <c r="K54" s="598"/>
      <c r="L54" s="585"/>
      <c r="M54" s="585"/>
      <c r="N54" s="585"/>
      <c r="O54" s="586"/>
    </row>
    <row r="55" spans="1:15" x14ac:dyDescent="0.25">
      <c r="A55" s="587"/>
      <c r="B55" s="587"/>
      <c r="C55" s="587"/>
      <c r="D55" s="588"/>
      <c r="E55" s="587"/>
      <c r="F55" s="587"/>
      <c r="G55" s="585"/>
      <c r="H55" s="585"/>
      <c r="I55" s="585"/>
      <c r="J55" s="585"/>
      <c r="K55" s="598"/>
      <c r="L55" s="585"/>
      <c r="M55" s="585"/>
      <c r="N55" s="585"/>
      <c r="O55" s="586"/>
    </row>
    <row r="56" spans="1:15" x14ac:dyDescent="0.25">
      <c r="A56" s="587"/>
      <c r="B56" s="587"/>
      <c r="C56" s="587"/>
      <c r="D56" s="588"/>
      <c r="E56" s="587"/>
      <c r="F56" s="587"/>
      <c r="G56" s="585"/>
      <c r="H56" s="585"/>
      <c r="I56" s="585"/>
      <c r="J56" s="585"/>
      <c r="K56" s="598"/>
      <c r="L56" s="585"/>
      <c r="M56" s="585"/>
      <c r="N56" s="585"/>
      <c r="O56" s="586"/>
    </row>
    <row r="57" spans="1:15" x14ac:dyDescent="0.25">
      <c r="A57" s="587"/>
      <c r="B57" s="587"/>
      <c r="C57" s="587"/>
      <c r="D57" s="588"/>
      <c r="E57" s="587"/>
      <c r="F57" s="587"/>
      <c r="G57" s="585"/>
      <c r="H57" s="585"/>
      <c r="I57" s="585"/>
      <c r="J57" s="585"/>
      <c r="K57" s="598"/>
      <c r="L57" s="585"/>
      <c r="M57" s="585"/>
      <c r="N57" s="585"/>
      <c r="O57" s="586"/>
    </row>
  </sheetData>
  <mergeCells count="1">
    <mergeCell ref="A2:O2"/>
  </mergeCells>
  <pageMargins left="0.7" right="0.7" top="0.75" bottom="0.75" header="0.3" footer="0.3"/>
  <ignoredErrors>
    <ignoredError sqref="I15 I17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7"/>
  <sheetViews>
    <sheetView topLeftCell="A43" workbookViewId="0">
      <selection activeCell="F51" sqref="F51"/>
    </sheetView>
  </sheetViews>
  <sheetFormatPr baseColWidth="10" defaultRowHeight="15" x14ac:dyDescent="0.25"/>
  <cols>
    <col min="2" max="2" width="35.28515625" customWidth="1"/>
    <col min="3" max="3" width="35.28515625" style="1" customWidth="1"/>
    <col min="5" max="5" width="11.42578125" style="1"/>
    <col min="6" max="6" width="12.85546875" style="1" bestFit="1" customWidth="1"/>
  </cols>
  <sheetData>
    <row r="1" spans="1:19" ht="23.25" x14ac:dyDescent="0.35">
      <c r="A1" s="7"/>
      <c r="B1" s="7"/>
      <c r="D1" s="801" t="s">
        <v>0</v>
      </c>
      <c r="E1" s="801"/>
      <c r="F1" s="801"/>
      <c r="G1" s="801"/>
      <c r="H1" s="801"/>
      <c r="I1" s="801"/>
      <c r="J1" s="801"/>
      <c r="K1" s="801"/>
      <c r="L1" s="801"/>
      <c r="M1" s="1"/>
      <c r="N1" s="1"/>
      <c r="O1" s="1"/>
      <c r="P1" s="1"/>
      <c r="Q1" s="1"/>
    </row>
    <row r="2" spans="1:19" s="46" customFormat="1" x14ac:dyDescent="0.25">
      <c r="A2" s="49" t="s">
        <v>1</v>
      </c>
      <c r="B2" s="49" t="s">
        <v>2</v>
      </c>
      <c r="C2" s="51" t="s">
        <v>34</v>
      </c>
      <c r="D2" s="50" t="s">
        <v>3</v>
      </c>
      <c r="E2" s="50" t="s">
        <v>535</v>
      </c>
      <c r="F2" s="50" t="s">
        <v>534</v>
      </c>
      <c r="G2" s="50" t="s">
        <v>4</v>
      </c>
      <c r="H2" s="50" t="s">
        <v>5</v>
      </c>
      <c r="I2" s="50" t="s">
        <v>6</v>
      </c>
      <c r="J2" s="50" t="s">
        <v>7</v>
      </c>
      <c r="K2" s="50" t="s">
        <v>8</v>
      </c>
      <c r="L2" s="50" t="s">
        <v>9</v>
      </c>
      <c r="M2" s="50" t="s">
        <v>10</v>
      </c>
      <c r="N2" s="50" t="s">
        <v>11</v>
      </c>
      <c r="O2" s="50" t="s">
        <v>12</v>
      </c>
      <c r="P2" s="50" t="s">
        <v>13</v>
      </c>
      <c r="Q2" s="50" t="s">
        <v>14</v>
      </c>
      <c r="R2" s="46" t="s">
        <v>132</v>
      </c>
    </row>
    <row r="3" spans="1:19" x14ac:dyDescent="0.25">
      <c r="A3" s="5">
        <v>100001</v>
      </c>
      <c r="B3" s="5" t="s">
        <v>15</v>
      </c>
      <c r="C3" s="44" t="s">
        <v>38</v>
      </c>
      <c r="D3" s="47">
        <v>157482.94272801603</v>
      </c>
      <c r="E3" s="134">
        <v>4910</v>
      </c>
      <c r="F3" s="770">
        <f>+E3*D3</f>
        <v>773241248.79455876</v>
      </c>
      <c r="G3" s="4">
        <v>165899.49424640051</v>
      </c>
      <c r="H3" s="4">
        <v>169717.58904136959</v>
      </c>
      <c r="I3" s="4">
        <v>159284.04865374338</v>
      </c>
      <c r="J3" s="4">
        <v>160849.08632515898</v>
      </c>
      <c r="K3" s="4">
        <v>165544.19933940584</v>
      </c>
      <c r="L3" s="4">
        <v>168674.27468223704</v>
      </c>
      <c r="M3" s="4">
        <v>170239.31235365264</v>
      </c>
      <c r="N3" s="4">
        <v>174934.42536789947</v>
      </c>
      <c r="O3" s="4">
        <v>178064.5007107307</v>
      </c>
      <c r="P3" s="4">
        <v>179629.5383821463</v>
      </c>
      <c r="Q3" s="4">
        <v>184324.65139639316</v>
      </c>
      <c r="R3" s="56">
        <f>SUM(D3:Q3)</f>
        <v>775280802.85778594</v>
      </c>
      <c r="S3" s="362">
        <f>R3/$R$52</f>
        <v>7.849328634338576E-2</v>
      </c>
    </row>
    <row r="4" spans="1:19" x14ac:dyDescent="0.25">
      <c r="A4" s="3">
        <v>100002</v>
      </c>
      <c r="B4" s="3" t="s">
        <v>16</v>
      </c>
      <c r="C4" s="44" t="s">
        <v>38</v>
      </c>
      <c r="D4" s="47">
        <v>114460.47124405921</v>
      </c>
      <c r="E4" s="141">
        <v>4910</v>
      </c>
      <c r="F4" s="770">
        <f t="shared" ref="F4:F50" si="0">+E4*D4</f>
        <v>562000913.80833077</v>
      </c>
      <c r="G4" s="4">
        <v>120316.98834226841</v>
      </c>
      <c r="H4" s="4">
        <v>122088.16009437905</v>
      </c>
      <c r="I4" s="4">
        <v>111198.15231479419</v>
      </c>
      <c r="J4" s="4">
        <v>112287.15769448756</v>
      </c>
      <c r="K4" s="4">
        <v>114465.16845387428</v>
      </c>
      <c r="L4" s="4">
        <v>117732.18459295436</v>
      </c>
      <c r="M4" s="4">
        <v>118821.18997264774</v>
      </c>
      <c r="N4" s="4">
        <v>120999.20073203446</v>
      </c>
      <c r="O4" s="4">
        <v>124266.21687111452</v>
      </c>
      <c r="P4" s="4">
        <v>125355.2222508079</v>
      </c>
      <c r="Q4" s="4">
        <v>127533.23301019461</v>
      </c>
      <c r="R4" s="56">
        <f t="shared" ref="R4:R50" si="1">SUM(D4:Q4)</f>
        <v>563435347.15390444</v>
      </c>
      <c r="S4" s="362">
        <f t="shared" ref="S4:S50" si="2">R4/$R$52</f>
        <v>5.7044998247233761E-2</v>
      </c>
    </row>
    <row r="5" spans="1:19" x14ac:dyDescent="0.25">
      <c r="A5" s="3">
        <v>100003</v>
      </c>
      <c r="B5" s="3" t="s">
        <v>17</v>
      </c>
      <c r="C5" s="44" t="s">
        <v>38</v>
      </c>
      <c r="D5" s="47">
        <v>28154.318768960005</v>
      </c>
      <c r="E5" s="141">
        <v>6000</v>
      </c>
      <c r="F5" s="770">
        <f t="shared" si="0"/>
        <v>168925912.61376002</v>
      </c>
      <c r="G5" s="4">
        <v>33414.663467950311</v>
      </c>
      <c r="H5" s="4">
        <v>33944.954411696024</v>
      </c>
      <c r="I5" s="4">
        <v>32858.127287984957</v>
      </c>
      <c r="J5" s="4">
        <v>33836.275832619714</v>
      </c>
      <c r="K5" s="4">
        <v>34488.374862376222</v>
      </c>
      <c r="L5" s="4">
        <v>34814.424377254472</v>
      </c>
      <c r="M5" s="4">
        <v>35792.57292188923</v>
      </c>
      <c r="N5" s="4">
        <v>36444.671951645731</v>
      </c>
      <c r="O5" s="4">
        <v>36770.721466523988</v>
      </c>
      <c r="P5" s="4">
        <v>37748.870011158753</v>
      </c>
      <c r="Q5" s="4">
        <v>38400.969040915261</v>
      </c>
      <c r="R5" s="56">
        <f t="shared" si="1"/>
        <v>169348581.55816096</v>
      </c>
      <c r="S5" s="362">
        <f t="shared" si="2"/>
        <v>1.7145693089642134E-2</v>
      </c>
    </row>
    <row r="6" spans="1:19" x14ac:dyDescent="0.25">
      <c r="A6" s="3">
        <v>100004</v>
      </c>
      <c r="B6" s="6" t="s">
        <v>18</v>
      </c>
      <c r="C6" s="44" t="s">
        <v>38</v>
      </c>
      <c r="D6" s="47">
        <v>55694.442401601125</v>
      </c>
      <c r="E6" s="141">
        <v>5130</v>
      </c>
      <c r="F6" s="770">
        <f t="shared" si="0"/>
        <v>285712489.52021378</v>
      </c>
      <c r="G6" s="4">
        <v>62259.352585941029</v>
      </c>
      <c r="H6" s="4">
        <v>63748.409555978964</v>
      </c>
      <c r="I6" s="4">
        <v>61713.869180391855</v>
      </c>
      <c r="J6" s="4">
        <v>73661.062371610067</v>
      </c>
      <c r="K6" s="4">
        <v>64562.23774236827</v>
      </c>
      <c r="L6" s="4">
        <v>65172.602434220353</v>
      </c>
      <c r="M6" s="4">
        <v>67003.696509776622</v>
      </c>
      <c r="N6" s="4">
        <v>68224.425893480802</v>
      </c>
      <c r="O6" s="4">
        <v>68834.790585332885</v>
      </c>
      <c r="P6" s="4">
        <v>70665.884660889162</v>
      </c>
      <c r="Q6" s="4">
        <v>71886.614044593342</v>
      </c>
      <c r="R6" s="56">
        <f t="shared" si="1"/>
        <v>286511046.90817994</v>
      </c>
      <c r="S6" s="362">
        <f t="shared" si="2"/>
        <v>2.9007804091896641E-2</v>
      </c>
    </row>
    <row r="7" spans="1:19" x14ac:dyDescent="0.25">
      <c r="A7" s="3">
        <v>100005</v>
      </c>
      <c r="B7" s="6" t="s">
        <v>19</v>
      </c>
      <c r="C7" s="44" t="s">
        <v>38</v>
      </c>
      <c r="D7" s="47">
        <v>51732.598855380005</v>
      </c>
      <c r="E7" s="141">
        <v>8550</v>
      </c>
      <c r="F7" s="770">
        <f t="shared" si="0"/>
        <v>442313720.21349907</v>
      </c>
      <c r="G7" s="4">
        <v>52884.479805966956</v>
      </c>
      <c r="H7" s="4">
        <v>50116.051470968967</v>
      </c>
      <c r="I7" s="4">
        <v>45731.559469572421</v>
      </c>
      <c r="J7" s="4">
        <v>47088.447130689754</v>
      </c>
      <c r="K7" s="4">
        <v>47540.74301772887</v>
      </c>
      <c r="L7" s="4">
        <v>48445.334791807087</v>
      </c>
      <c r="M7" s="4">
        <v>49802.222452924419</v>
      </c>
      <c r="N7" s="4">
        <v>50254.518339963535</v>
      </c>
      <c r="O7" s="4">
        <v>51159.110114041752</v>
      </c>
      <c r="P7" s="4">
        <v>52515.997775159085</v>
      </c>
      <c r="Q7" s="4">
        <v>52968.293662198201</v>
      </c>
      <c r="R7" s="56">
        <f t="shared" si="1"/>
        <v>442922509.57038546</v>
      </c>
      <c r="S7" s="362">
        <f t="shared" si="2"/>
        <v>4.4843678888327493E-2</v>
      </c>
    </row>
    <row r="8" spans="1:19" x14ac:dyDescent="0.25">
      <c r="A8" s="3">
        <v>100006</v>
      </c>
      <c r="B8" s="6" t="s">
        <v>20</v>
      </c>
      <c r="C8" s="44" t="s">
        <v>38</v>
      </c>
      <c r="D8" s="47">
        <v>53171.343941147446</v>
      </c>
      <c r="E8" s="141">
        <v>10100</v>
      </c>
      <c r="F8" s="770">
        <f t="shared" si="0"/>
        <v>537030573.8055892</v>
      </c>
      <c r="G8" s="4">
        <v>55891.924081535915</v>
      </c>
      <c r="H8" s="4">
        <v>56714.702298213997</v>
      </c>
      <c r="I8" s="4">
        <v>51655.869822018576</v>
      </c>
      <c r="J8" s="4">
        <v>52161.755207323084</v>
      </c>
      <c r="K8" s="4">
        <v>53173.52597793207</v>
      </c>
      <c r="L8" s="4">
        <v>54691.182133845577</v>
      </c>
      <c r="M8" s="4">
        <v>55197.06751915007</v>
      </c>
      <c r="N8" s="4">
        <v>56208.838289759085</v>
      </c>
      <c r="O8" s="4">
        <v>57726.494445672579</v>
      </c>
      <c r="P8" s="4">
        <v>58232.379830977086</v>
      </c>
      <c r="Q8" s="4">
        <v>59244.150601586087</v>
      </c>
      <c r="R8" s="56">
        <f t="shared" si="1"/>
        <v>537704743.0397383</v>
      </c>
      <c r="S8" s="362">
        <f t="shared" si="2"/>
        <v>5.4439903849079256E-2</v>
      </c>
    </row>
    <row r="9" spans="1:19" s="1" customFormat="1" x14ac:dyDescent="0.25">
      <c r="A9" s="10">
        <f t="shared" ref="A9:A34" si="3">+A8+1</f>
        <v>100007</v>
      </c>
      <c r="B9" s="10" t="s">
        <v>43</v>
      </c>
      <c r="C9" s="10" t="s">
        <v>46</v>
      </c>
      <c r="D9" s="48">
        <v>58816.221642233104</v>
      </c>
      <c r="E9" s="229">
        <v>2340</v>
      </c>
      <c r="F9" s="770">
        <f t="shared" si="0"/>
        <v>137629958.64282545</v>
      </c>
      <c r="G9" s="48">
        <v>60040.159355729607</v>
      </c>
      <c r="H9" s="48">
        <v>61264.097069226111</v>
      </c>
      <c r="I9" s="48">
        <v>62488.034782722614</v>
      </c>
      <c r="J9" s="48">
        <v>63711.972496219118</v>
      </c>
      <c r="K9" s="48">
        <v>64935.910209715621</v>
      </c>
      <c r="L9" s="48">
        <v>66159.847923212117</v>
      </c>
      <c r="M9" s="48">
        <v>67383.785636708621</v>
      </c>
      <c r="N9" s="48">
        <v>68607.723350205124</v>
      </c>
      <c r="O9" s="48">
        <v>69831.661063701627</v>
      </c>
      <c r="P9" s="48">
        <v>71055.598777198145</v>
      </c>
      <c r="Q9" s="48">
        <v>72279.536490694663</v>
      </c>
      <c r="R9" s="56">
        <f t="shared" si="1"/>
        <v>138418873.19162306</v>
      </c>
      <c r="S9" s="362">
        <f t="shared" si="2"/>
        <v>1.4014215505800277E-2</v>
      </c>
    </row>
    <row r="10" spans="1:19" s="1" customFormat="1" ht="16.5" customHeight="1" x14ac:dyDescent="0.25">
      <c r="A10" s="10">
        <f t="shared" si="3"/>
        <v>100008</v>
      </c>
      <c r="B10" s="10" t="s">
        <v>47</v>
      </c>
      <c r="C10" s="10" t="s">
        <v>46</v>
      </c>
      <c r="D10" s="55">
        <v>24856.161680556328</v>
      </c>
      <c r="E10" s="229">
        <v>2340</v>
      </c>
      <c r="F10" s="770">
        <f t="shared" si="0"/>
        <v>58163418.332501806</v>
      </c>
      <c r="G10" s="55">
        <v>25373.406630959187</v>
      </c>
      <c r="H10" s="55">
        <v>25890.65158136205</v>
      </c>
      <c r="I10" s="55">
        <v>26407.896531764913</v>
      </c>
      <c r="J10" s="55">
        <v>26925.141482167772</v>
      </c>
      <c r="K10" s="55">
        <v>27442.386432570627</v>
      </c>
      <c r="L10" s="55">
        <v>27959.63138297349</v>
      </c>
      <c r="M10" s="55">
        <v>28476.876333376353</v>
      </c>
      <c r="N10" s="55">
        <v>28994.121283779212</v>
      </c>
      <c r="O10" s="55">
        <v>29511.366234182071</v>
      </c>
      <c r="P10" s="55">
        <v>30028.611184584926</v>
      </c>
      <c r="Q10" s="55">
        <v>30545.856134987796</v>
      </c>
      <c r="R10" s="56">
        <f t="shared" si="1"/>
        <v>58498170.43939507</v>
      </c>
      <c r="S10" s="362">
        <f t="shared" si="2"/>
        <v>5.9226458670690249E-3</v>
      </c>
    </row>
    <row r="11" spans="1:19" s="1" customFormat="1" x14ac:dyDescent="0.25">
      <c r="A11" s="10">
        <f t="shared" si="3"/>
        <v>100009</v>
      </c>
      <c r="B11" s="10" t="s">
        <v>50</v>
      </c>
      <c r="C11" s="10" t="s">
        <v>46</v>
      </c>
      <c r="D11" s="55">
        <v>98550.983348985363</v>
      </c>
      <c r="E11" s="229">
        <v>2240</v>
      </c>
      <c r="F11" s="770">
        <f t="shared" si="0"/>
        <v>220754202.70172721</v>
      </c>
      <c r="G11" s="55">
        <v>100601.78262964718</v>
      </c>
      <c r="H11" s="55">
        <v>102652.58191030899</v>
      </c>
      <c r="I11" s="55">
        <v>104703.38119097083</v>
      </c>
      <c r="J11" s="55">
        <v>106754.18047163264</v>
      </c>
      <c r="K11" s="55">
        <v>108804.97975229447</v>
      </c>
      <c r="L11" s="55">
        <v>110855.77903295628</v>
      </c>
      <c r="M11" s="55">
        <v>112906.57831361813</v>
      </c>
      <c r="N11" s="55">
        <v>114957.37759427994</v>
      </c>
      <c r="O11" s="55">
        <v>117008.17687494175</v>
      </c>
      <c r="P11" s="55">
        <v>119058.9761556036</v>
      </c>
      <c r="Q11" s="55">
        <v>121109.77543626539</v>
      </c>
      <c r="R11" s="56">
        <f t="shared" si="1"/>
        <v>222074407.25443873</v>
      </c>
      <c r="S11" s="362">
        <f t="shared" si="2"/>
        <v>2.248391805124814E-2</v>
      </c>
    </row>
    <row r="12" spans="1:19" s="1" customFormat="1" x14ac:dyDescent="0.25">
      <c r="A12" s="10">
        <f t="shared" si="3"/>
        <v>100010</v>
      </c>
      <c r="B12" s="10" t="s">
        <v>52</v>
      </c>
      <c r="C12" s="10" t="s">
        <v>46</v>
      </c>
      <c r="D12" s="55">
        <v>80597.639740785206</v>
      </c>
      <c r="E12" s="229">
        <v>2300</v>
      </c>
      <c r="F12" s="770">
        <f t="shared" si="0"/>
        <v>185374571.40380597</v>
      </c>
      <c r="G12" s="55">
        <v>82274.838445318921</v>
      </c>
      <c r="H12" s="55">
        <v>83952.037149852651</v>
      </c>
      <c r="I12" s="55">
        <v>85629.235854386367</v>
      </c>
      <c r="J12" s="55">
        <v>87306.434558920097</v>
      </c>
      <c r="K12" s="55">
        <v>88983.633263453827</v>
      </c>
      <c r="L12" s="55">
        <v>90660.831967987528</v>
      </c>
      <c r="M12" s="55">
        <v>92338.030672521258</v>
      </c>
      <c r="N12" s="55">
        <v>94015.229377055002</v>
      </c>
      <c r="O12" s="55">
        <v>95692.428081588703</v>
      </c>
      <c r="P12" s="55">
        <v>97369.626786122433</v>
      </c>
      <c r="Q12" s="55">
        <v>99046.825490656134</v>
      </c>
      <c r="R12" s="56">
        <f t="shared" si="1"/>
        <v>186454738.1951946</v>
      </c>
      <c r="S12" s="362">
        <f t="shared" si="2"/>
        <v>1.8877605509240367E-2</v>
      </c>
    </row>
    <row r="13" spans="1:19" s="1" customFormat="1" ht="15.75" customHeight="1" x14ac:dyDescent="0.25">
      <c r="A13" s="10">
        <f t="shared" si="3"/>
        <v>100011</v>
      </c>
      <c r="B13" s="10" t="s">
        <v>53</v>
      </c>
      <c r="C13" s="10" t="s">
        <v>46</v>
      </c>
      <c r="D13" s="55">
        <v>52018.69438946485</v>
      </c>
      <c r="E13" s="229">
        <v>1260</v>
      </c>
      <c r="F13" s="770">
        <f t="shared" si="0"/>
        <v>65543554.930725709</v>
      </c>
      <c r="G13" s="55">
        <v>53101.178778860653</v>
      </c>
      <c r="H13" s="55">
        <v>54183.66316825644</v>
      </c>
      <c r="I13" s="55">
        <v>55266.147557652243</v>
      </c>
      <c r="J13" s="55">
        <v>56348.631947048045</v>
      </c>
      <c r="K13" s="55">
        <v>57431.116336443847</v>
      </c>
      <c r="L13" s="55">
        <v>58513.600725839649</v>
      </c>
      <c r="M13" s="55">
        <v>59596.085115235452</v>
      </c>
      <c r="N13" s="55">
        <v>60678.569504631254</v>
      </c>
      <c r="O13" s="55">
        <v>61761.053894027056</v>
      </c>
      <c r="P13" s="55">
        <v>62843.538283422859</v>
      </c>
      <c r="Q13" s="55">
        <v>63926.022672818661</v>
      </c>
      <c r="R13" s="56">
        <f t="shared" si="1"/>
        <v>66240483.233099408</v>
      </c>
      <c r="S13" s="362">
        <f t="shared" si="2"/>
        <v>6.7065161406991217E-3</v>
      </c>
    </row>
    <row r="14" spans="1:19" s="1" customFormat="1" x14ac:dyDescent="0.25">
      <c r="A14" s="10">
        <f t="shared" si="3"/>
        <v>100012</v>
      </c>
      <c r="B14" s="10" t="s">
        <v>55</v>
      </c>
      <c r="C14" s="10" t="s">
        <v>46</v>
      </c>
      <c r="D14" s="55">
        <v>40812.739501710224</v>
      </c>
      <c r="E14" s="229">
        <v>1260</v>
      </c>
      <c r="F14" s="770">
        <f t="shared" si="0"/>
        <v>51424051.772154883</v>
      </c>
      <c r="G14" s="55">
        <v>41662.033278065093</v>
      </c>
      <c r="H14" s="55">
        <v>42511.327054419962</v>
      </c>
      <c r="I14" s="55">
        <v>43360.620830774831</v>
      </c>
      <c r="J14" s="55">
        <v>44209.9146071297</v>
      </c>
      <c r="K14" s="55">
        <v>45059.208383484569</v>
      </c>
      <c r="L14" s="55">
        <v>45908.502159839438</v>
      </c>
      <c r="M14" s="55">
        <v>46757.795936194314</v>
      </c>
      <c r="N14" s="55">
        <v>47607.089712549183</v>
      </c>
      <c r="O14" s="55">
        <v>48456.383488904052</v>
      </c>
      <c r="P14" s="55">
        <v>49305.677265258921</v>
      </c>
      <c r="Q14" s="55">
        <v>50154.97104161379</v>
      </c>
      <c r="R14" s="56">
        <f t="shared" si="1"/>
        <v>51971118.035414822</v>
      </c>
      <c r="S14" s="362">
        <f t="shared" si="2"/>
        <v>5.2618146025318517E-3</v>
      </c>
    </row>
    <row r="15" spans="1:19" s="1" customFormat="1" ht="14.25" customHeight="1" x14ac:dyDescent="0.25">
      <c r="A15" s="10">
        <f t="shared" si="3"/>
        <v>100013</v>
      </c>
      <c r="B15" s="10" t="s">
        <v>57</v>
      </c>
      <c r="C15" s="10" t="s">
        <v>46</v>
      </c>
      <c r="D15" s="55">
        <v>59664.815733458461</v>
      </c>
      <c r="E15" s="229">
        <v>2710</v>
      </c>
      <c r="F15" s="770">
        <f t="shared" si="0"/>
        <v>161691650.63767242</v>
      </c>
      <c r="G15" s="55">
        <v>60906.412286114843</v>
      </c>
      <c r="H15" s="55">
        <v>62148.008838771224</v>
      </c>
      <c r="I15" s="55">
        <v>63389.605391427613</v>
      </c>
      <c r="J15" s="55">
        <v>64631.201944084001</v>
      </c>
      <c r="K15" s="55">
        <v>65872.79849674039</v>
      </c>
      <c r="L15" s="55">
        <v>67114.395049396771</v>
      </c>
      <c r="M15" s="55">
        <v>68355.991602053167</v>
      </c>
      <c r="N15" s="55">
        <v>69597.588154709549</v>
      </c>
      <c r="O15" s="55">
        <v>70839.184707365945</v>
      </c>
      <c r="P15" s="55">
        <v>72080.781260022326</v>
      </c>
      <c r="Q15" s="55">
        <v>73322.377812678707</v>
      </c>
      <c r="R15" s="56">
        <f t="shared" si="1"/>
        <v>162492283.79894924</v>
      </c>
      <c r="S15" s="362">
        <f t="shared" si="2"/>
        <v>1.6451527386988924E-2</v>
      </c>
    </row>
    <row r="16" spans="1:19" s="1" customFormat="1" x14ac:dyDescent="0.25">
      <c r="A16" s="10">
        <f t="shared" si="3"/>
        <v>100014</v>
      </c>
      <c r="B16" s="10" t="s">
        <v>59</v>
      </c>
      <c r="C16" s="10" t="s">
        <v>46</v>
      </c>
      <c r="D16" s="55">
        <v>58787.391972672274</v>
      </c>
      <c r="E16" s="229">
        <v>1480</v>
      </c>
      <c r="F16" s="770">
        <f t="shared" si="0"/>
        <v>87005340.119554967</v>
      </c>
      <c r="G16" s="55">
        <v>60010.72975249547</v>
      </c>
      <c r="H16" s="55">
        <v>61234.067532318666</v>
      </c>
      <c r="I16" s="55">
        <v>62457.405312141869</v>
      </c>
      <c r="J16" s="55">
        <v>63680.743091965065</v>
      </c>
      <c r="K16" s="55">
        <v>64904.080871788261</v>
      </c>
      <c r="L16" s="55">
        <v>66127.418651611471</v>
      </c>
      <c r="M16" s="55">
        <v>67350.756431434653</v>
      </c>
      <c r="N16" s="55">
        <v>68574.094211257863</v>
      </c>
      <c r="O16" s="55">
        <v>69797.431991081059</v>
      </c>
      <c r="P16" s="55">
        <v>71020.769770904255</v>
      </c>
      <c r="Q16" s="55">
        <v>72244.107550727451</v>
      </c>
      <c r="R16" s="56">
        <f t="shared" si="1"/>
        <v>87793009.116695359</v>
      </c>
      <c r="S16" s="362">
        <f t="shared" si="2"/>
        <v>8.8886011083242691E-3</v>
      </c>
    </row>
    <row r="17" spans="1:19" x14ac:dyDescent="0.25">
      <c r="A17" s="10">
        <f t="shared" si="3"/>
        <v>100015</v>
      </c>
      <c r="B17" s="29" t="s">
        <v>62</v>
      </c>
      <c r="C17" s="10" t="s">
        <v>63</v>
      </c>
      <c r="D17" s="54">
        <v>153290</v>
      </c>
      <c r="E17" s="233">
        <v>2360</v>
      </c>
      <c r="F17" s="770">
        <f t="shared" si="0"/>
        <v>361764400</v>
      </c>
      <c r="G17" s="54">
        <v>164940.04</v>
      </c>
      <c r="H17" s="54">
        <v>148231.43</v>
      </c>
      <c r="I17" s="54">
        <v>185227.66492000001</v>
      </c>
      <c r="J17" s="54">
        <v>168898.60096000001</v>
      </c>
      <c r="K17" s="54">
        <v>136565.61645899998</v>
      </c>
      <c r="L17" s="54">
        <v>199990.30981412402</v>
      </c>
      <c r="M17" s="54">
        <v>191821.76979115204</v>
      </c>
      <c r="N17" s="54">
        <v>150708.22163660801</v>
      </c>
      <c r="O17" s="54">
        <v>134298.6272257806</v>
      </c>
      <c r="P17" s="54">
        <v>193051.10089728</v>
      </c>
      <c r="Q17" s="54">
        <v>246788.04231062904</v>
      </c>
      <c r="R17" s="56">
        <f t="shared" si="1"/>
        <v>363840571.42401451</v>
      </c>
      <c r="S17" s="362">
        <f t="shared" si="2"/>
        <v>3.6837029952055983E-2</v>
      </c>
    </row>
    <row r="18" spans="1:19" x14ac:dyDescent="0.25">
      <c r="A18" s="10">
        <f t="shared" si="3"/>
        <v>100016</v>
      </c>
      <c r="B18" s="29" t="s">
        <v>65</v>
      </c>
      <c r="C18" s="10" t="s">
        <v>63</v>
      </c>
      <c r="D18" s="54">
        <v>35790</v>
      </c>
      <c r="E18" s="233">
        <v>5000</v>
      </c>
      <c r="F18" s="770">
        <f t="shared" si="0"/>
        <v>178950000</v>
      </c>
      <c r="G18" s="54">
        <v>38510.04</v>
      </c>
      <c r="H18" s="54">
        <v>34608.93</v>
      </c>
      <c r="I18" s="54">
        <v>43246.774920000003</v>
      </c>
      <c r="J18" s="54">
        <v>39434.280960000004</v>
      </c>
      <c r="K18" s="54">
        <v>31885.207209</v>
      </c>
      <c r="L18" s="54">
        <v>46693.542881124005</v>
      </c>
      <c r="M18" s="54">
        <v>44786.36010715201</v>
      </c>
      <c r="N18" s="54">
        <v>35187.208900608006</v>
      </c>
      <c r="O18" s="54">
        <v>31355.9127693306</v>
      </c>
      <c r="P18" s="54">
        <v>45073.383137280005</v>
      </c>
      <c r="Q18" s="54">
        <v>57619.831915307019</v>
      </c>
      <c r="R18" s="56">
        <f t="shared" si="1"/>
        <v>179439191.47279978</v>
      </c>
      <c r="S18" s="362">
        <f t="shared" si="2"/>
        <v>1.8167316649118352E-2</v>
      </c>
    </row>
    <row r="19" spans="1:19" x14ac:dyDescent="0.25">
      <c r="A19" s="10">
        <f t="shared" si="3"/>
        <v>100017</v>
      </c>
      <c r="B19" s="29" t="s">
        <v>66</v>
      </c>
      <c r="C19" s="10" t="s">
        <v>63</v>
      </c>
      <c r="D19" s="54">
        <v>25800</v>
      </c>
      <c r="E19" s="233">
        <v>3590</v>
      </c>
      <c r="F19" s="770">
        <f t="shared" si="0"/>
        <v>92622000</v>
      </c>
      <c r="G19" s="54">
        <v>27760.800000000003</v>
      </c>
      <c r="H19" s="54">
        <v>24948.6</v>
      </c>
      <c r="I19" s="54">
        <v>31175.378400000001</v>
      </c>
      <c r="J19" s="54">
        <v>28427.059200000003</v>
      </c>
      <c r="K19" s="54">
        <v>22985.14518</v>
      </c>
      <c r="L19" s="54">
        <v>33660.056058480004</v>
      </c>
      <c r="M19" s="54">
        <v>32285.221871040005</v>
      </c>
      <c r="N19" s="54">
        <v>25365.464924160002</v>
      </c>
      <c r="O19" s="54">
        <v>22603.591770012001</v>
      </c>
      <c r="P19" s="54">
        <v>32492.128665600005</v>
      </c>
      <c r="Q19" s="54">
        <v>41536.509176164327</v>
      </c>
      <c r="R19" s="56">
        <f t="shared" si="1"/>
        <v>92974629.955245435</v>
      </c>
      <c r="S19" s="362">
        <f t="shared" si="2"/>
        <v>9.4132141861973887E-3</v>
      </c>
    </row>
    <row r="20" spans="1:19" x14ac:dyDescent="0.25">
      <c r="A20" s="10">
        <f t="shared" si="3"/>
        <v>100018</v>
      </c>
      <c r="B20" s="29" t="s">
        <v>68</v>
      </c>
      <c r="C20" s="10" t="s">
        <v>63</v>
      </c>
      <c r="D20" s="54">
        <v>24600</v>
      </c>
      <c r="E20" s="233">
        <v>12330</v>
      </c>
      <c r="F20" s="770">
        <f t="shared" si="0"/>
        <v>303318000</v>
      </c>
      <c r="G20" s="54">
        <v>26469.600000000002</v>
      </c>
      <c r="H20" s="54">
        <v>23788.2</v>
      </c>
      <c r="I20" s="54">
        <v>29725.360800000002</v>
      </c>
      <c r="J20" s="54">
        <v>27104.870400000003</v>
      </c>
      <c r="K20" s="54">
        <v>21916.068660000001</v>
      </c>
      <c r="L20" s="54">
        <v>32094.472055760005</v>
      </c>
      <c r="M20" s="54">
        <v>30783.583644480004</v>
      </c>
      <c r="N20" s="54">
        <v>24185.675857920003</v>
      </c>
      <c r="O20" s="54">
        <v>21552.261920244004</v>
      </c>
      <c r="P20" s="54">
        <v>30980.866867200006</v>
      </c>
      <c r="Q20" s="54">
        <v>39604.578516807844</v>
      </c>
      <c r="R20" s="56">
        <f t="shared" si="1"/>
        <v>303663135.53872246</v>
      </c>
      <c r="S20" s="362">
        <f t="shared" si="2"/>
        <v>3.0744366895079155E-2</v>
      </c>
    </row>
    <row r="21" spans="1:19" x14ac:dyDescent="0.25">
      <c r="A21" s="10">
        <f t="shared" si="3"/>
        <v>100019</v>
      </c>
      <c r="B21" s="29" t="s">
        <v>70</v>
      </c>
      <c r="C21" s="10" t="s">
        <v>63</v>
      </c>
      <c r="D21" s="54">
        <v>21570</v>
      </c>
      <c r="E21" s="233">
        <v>7480</v>
      </c>
      <c r="F21" s="770">
        <f t="shared" si="0"/>
        <v>161343600</v>
      </c>
      <c r="G21" s="54">
        <v>23209.32</v>
      </c>
      <c r="H21" s="54">
        <v>20858.189999999999</v>
      </c>
      <c r="I21" s="54">
        <v>26064.066360000001</v>
      </c>
      <c r="J21" s="54">
        <v>23766.343680000002</v>
      </c>
      <c r="K21" s="54">
        <v>19216.650447</v>
      </c>
      <c r="L21" s="54">
        <v>28141.372448892005</v>
      </c>
      <c r="M21" s="54">
        <v>26991.947122416004</v>
      </c>
      <c r="N21" s="54">
        <v>21206.708465664</v>
      </c>
      <c r="O21" s="54">
        <v>18897.6540495798</v>
      </c>
      <c r="P21" s="54">
        <v>27164.930826240001</v>
      </c>
      <c r="Q21" s="54">
        <v>34726.453601932735</v>
      </c>
      <c r="R21" s="56">
        <f t="shared" si="1"/>
        <v>161642893.63700172</v>
      </c>
      <c r="S21" s="362">
        <f t="shared" si="2"/>
        <v>1.6365530900356928E-2</v>
      </c>
    </row>
    <row r="22" spans="1:19" x14ac:dyDescent="0.25">
      <c r="A22" s="10">
        <f t="shared" si="3"/>
        <v>100020</v>
      </c>
      <c r="B22" s="29" t="s">
        <v>72</v>
      </c>
      <c r="C22" s="10" t="s">
        <v>63</v>
      </c>
      <c r="D22" s="54">
        <v>14600</v>
      </c>
      <c r="E22" s="233">
        <v>4100</v>
      </c>
      <c r="F22" s="770">
        <f t="shared" si="0"/>
        <v>59860000</v>
      </c>
      <c r="G22" s="54">
        <v>15709.6</v>
      </c>
      <c r="H22" s="54">
        <v>14118.199999999999</v>
      </c>
      <c r="I22" s="54">
        <v>17641.880799999999</v>
      </c>
      <c r="J22" s="54">
        <v>16086.6304</v>
      </c>
      <c r="K22" s="54">
        <v>13007.097659999999</v>
      </c>
      <c r="L22" s="54">
        <v>19047.938699760001</v>
      </c>
      <c r="M22" s="54">
        <v>18269.93175648</v>
      </c>
      <c r="N22" s="54">
        <v>14354.100305919999</v>
      </c>
      <c r="O22" s="54">
        <v>12791.179838844</v>
      </c>
      <c r="P22" s="54">
        <v>18387.018547200001</v>
      </c>
      <c r="Q22" s="54">
        <v>23505.156355503841</v>
      </c>
      <c r="R22" s="56">
        <f t="shared" si="1"/>
        <v>60061618.734363712</v>
      </c>
      <c r="S22" s="362">
        <f t="shared" si="2"/>
        <v>6.0809371523010206E-3</v>
      </c>
    </row>
    <row r="23" spans="1:19" x14ac:dyDescent="0.25">
      <c r="A23" s="10">
        <f t="shared" si="3"/>
        <v>100021</v>
      </c>
      <c r="B23" s="22" t="s">
        <v>73</v>
      </c>
      <c r="C23" s="10" t="s">
        <v>75</v>
      </c>
      <c r="D23" s="60">
        <v>25000</v>
      </c>
      <c r="E23" s="231">
        <v>3300</v>
      </c>
      <c r="F23" s="770">
        <f t="shared" si="0"/>
        <v>82500000</v>
      </c>
      <c r="G23" s="60">
        <v>25000</v>
      </c>
      <c r="H23" s="60">
        <v>25000</v>
      </c>
      <c r="I23" s="60">
        <v>25000</v>
      </c>
      <c r="J23" s="60">
        <v>25000</v>
      </c>
      <c r="K23" s="60">
        <v>25000</v>
      </c>
      <c r="L23" s="60">
        <v>25000</v>
      </c>
      <c r="M23" s="60">
        <v>25000</v>
      </c>
      <c r="N23" s="60">
        <v>25000</v>
      </c>
      <c r="O23" s="60">
        <v>25000</v>
      </c>
      <c r="P23" s="60">
        <v>25000</v>
      </c>
      <c r="Q23" s="60">
        <v>25000</v>
      </c>
      <c r="R23" s="56">
        <f t="shared" si="1"/>
        <v>82803300</v>
      </c>
      <c r="S23" s="362">
        <f t="shared" si="2"/>
        <v>8.3834181281404879E-3</v>
      </c>
    </row>
    <row r="24" spans="1:19" x14ac:dyDescent="0.25">
      <c r="A24" s="10">
        <f t="shared" si="3"/>
        <v>100022</v>
      </c>
      <c r="B24" s="22" t="s">
        <v>76</v>
      </c>
      <c r="C24" s="10" t="s">
        <v>75</v>
      </c>
      <c r="D24" s="60">
        <v>30000</v>
      </c>
      <c r="E24" s="231">
        <v>3000</v>
      </c>
      <c r="F24" s="770">
        <f t="shared" si="0"/>
        <v>90000000</v>
      </c>
      <c r="G24" s="60">
        <v>30000</v>
      </c>
      <c r="H24" s="60">
        <v>30000</v>
      </c>
      <c r="I24" s="60">
        <v>30000</v>
      </c>
      <c r="J24" s="60">
        <v>30000</v>
      </c>
      <c r="K24" s="60">
        <v>30000</v>
      </c>
      <c r="L24" s="60">
        <v>30000</v>
      </c>
      <c r="M24" s="60">
        <v>30000</v>
      </c>
      <c r="N24" s="60">
        <v>30000</v>
      </c>
      <c r="O24" s="60">
        <v>30000</v>
      </c>
      <c r="P24" s="60">
        <v>30000</v>
      </c>
      <c r="Q24" s="60">
        <v>30000</v>
      </c>
      <c r="R24" s="56">
        <f t="shared" si="1"/>
        <v>90363000</v>
      </c>
      <c r="S24" s="362">
        <f t="shared" si="2"/>
        <v>9.1487997738394344E-3</v>
      </c>
    </row>
    <row r="25" spans="1:19" x14ac:dyDescent="0.25">
      <c r="A25" s="10">
        <f t="shared" si="3"/>
        <v>100023</v>
      </c>
      <c r="B25" s="22" t="s">
        <v>78</v>
      </c>
      <c r="C25" s="10" t="s">
        <v>75</v>
      </c>
      <c r="D25" s="60">
        <v>40000</v>
      </c>
      <c r="E25" s="231">
        <v>3800</v>
      </c>
      <c r="F25" s="770">
        <f t="shared" si="0"/>
        <v>152000000</v>
      </c>
      <c r="G25" s="60">
        <v>40000</v>
      </c>
      <c r="H25" s="60">
        <v>40000</v>
      </c>
      <c r="I25" s="60">
        <v>40000</v>
      </c>
      <c r="J25" s="60">
        <v>40000</v>
      </c>
      <c r="K25" s="60">
        <v>40000</v>
      </c>
      <c r="L25" s="60">
        <v>40000</v>
      </c>
      <c r="M25" s="60">
        <v>40000</v>
      </c>
      <c r="N25" s="60">
        <v>40000</v>
      </c>
      <c r="O25" s="60">
        <v>40000</v>
      </c>
      <c r="P25" s="60">
        <v>40000</v>
      </c>
      <c r="Q25" s="60">
        <v>40000</v>
      </c>
      <c r="R25" s="56">
        <f t="shared" si="1"/>
        <v>152483800</v>
      </c>
      <c r="S25" s="362">
        <f t="shared" si="2"/>
        <v>1.5438218684131531E-2</v>
      </c>
    </row>
    <row r="26" spans="1:19" x14ac:dyDescent="0.25">
      <c r="A26" s="10">
        <f t="shared" si="3"/>
        <v>100024</v>
      </c>
      <c r="B26" s="31" t="s">
        <v>80</v>
      </c>
      <c r="C26" s="10" t="s">
        <v>75</v>
      </c>
      <c r="D26" s="60">
        <v>60000</v>
      </c>
      <c r="E26" s="231">
        <v>2300</v>
      </c>
      <c r="F26" s="770">
        <f t="shared" si="0"/>
        <v>138000000</v>
      </c>
      <c r="G26" s="60">
        <v>60000</v>
      </c>
      <c r="H26" s="60">
        <v>60000</v>
      </c>
      <c r="I26" s="60">
        <v>60000</v>
      </c>
      <c r="J26" s="60">
        <v>60000</v>
      </c>
      <c r="K26" s="60">
        <v>60000</v>
      </c>
      <c r="L26" s="60">
        <v>60000</v>
      </c>
      <c r="M26" s="60">
        <v>60000</v>
      </c>
      <c r="N26" s="60">
        <v>60000</v>
      </c>
      <c r="O26" s="60">
        <v>60000</v>
      </c>
      <c r="P26" s="60">
        <v>60000</v>
      </c>
      <c r="Q26" s="60">
        <v>60000</v>
      </c>
      <c r="R26" s="56">
        <f t="shared" si="1"/>
        <v>138722300</v>
      </c>
      <c r="S26" s="362">
        <f t="shared" si="2"/>
        <v>1.4044935945757514E-2</v>
      </c>
    </row>
    <row r="27" spans="1:19" x14ac:dyDescent="0.25">
      <c r="A27" s="10">
        <f t="shared" si="3"/>
        <v>100025</v>
      </c>
      <c r="B27" s="31" t="s">
        <v>82</v>
      </c>
      <c r="C27" s="10" t="s">
        <v>75</v>
      </c>
      <c r="D27" s="60">
        <v>30000</v>
      </c>
      <c r="E27" s="231">
        <v>3900</v>
      </c>
      <c r="F27" s="770">
        <f t="shared" si="0"/>
        <v>117000000</v>
      </c>
      <c r="G27" s="60">
        <v>30000</v>
      </c>
      <c r="H27" s="60">
        <v>30000</v>
      </c>
      <c r="I27" s="60">
        <v>30000</v>
      </c>
      <c r="J27" s="60">
        <v>30000</v>
      </c>
      <c r="K27" s="60">
        <v>30000</v>
      </c>
      <c r="L27" s="60">
        <v>30000</v>
      </c>
      <c r="M27" s="60">
        <v>30000</v>
      </c>
      <c r="N27" s="60">
        <v>30000</v>
      </c>
      <c r="O27" s="60">
        <v>30000</v>
      </c>
      <c r="P27" s="60">
        <v>30000</v>
      </c>
      <c r="Q27" s="60">
        <v>30000</v>
      </c>
      <c r="R27" s="56">
        <f t="shared" si="1"/>
        <v>117363900</v>
      </c>
      <c r="S27" s="362">
        <f t="shared" si="2"/>
        <v>1.1882505248574239E-2</v>
      </c>
    </row>
    <row r="28" spans="1:19" x14ac:dyDescent="0.25">
      <c r="A28" s="10">
        <f t="shared" si="3"/>
        <v>100026</v>
      </c>
      <c r="B28" s="31" t="s">
        <v>84</v>
      </c>
      <c r="C28" s="10" t="s">
        <v>75</v>
      </c>
      <c r="D28" s="60">
        <v>65000</v>
      </c>
      <c r="E28" s="231">
        <v>3000</v>
      </c>
      <c r="F28" s="770">
        <f t="shared" si="0"/>
        <v>195000000</v>
      </c>
      <c r="G28" s="60">
        <v>65000</v>
      </c>
      <c r="H28" s="60">
        <v>65000</v>
      </c>
      <c r="I28" s="60">
        <v>65000</v>
      </c>
      <c r="J28" s="60">
        <v>65000</v>
      </c>
      <c r="K28" s="60">
        <v>65000</v>
      </c>
      <c r="L28" s="60">
        <v>65000</v>
      </c>
      <c r="M28" s="60">
        <v>65000</v>
      </c>
      <c r="N28" s="60">
        <v>65000</v>
      </c>
      <c r="O28" s="60">
        <v>65000</v>
      </c>
      <c r="P28" s="60">
        <v>65000</v>
      </c>
      <c r="Q28" s="60">
        <v>65000</v>
      </c>
      <c r="R28" s="56">
        <f t="shared" si="1"/>
        <v>195783000</v>
      </c>
      <c r="S28" s="362">
        <f t="shared" si="2"/>
        <v>1.9822045152569148E-2</v>
      </c>
    </row>
    <row r="29" spans="1:19" x14ac:dyDescent="0.25">
      <c r="A29" s="10">
        <f t="shared" si="3"/>
        <v>100027</v>
      </c>
      <c r="B29" s="31" t="s">
        <v>85</v>
      </c>
      <c r="C29" s="10" t="s">
        <v>75</v>
      </c>
      <c r="D29" s="60">
        <v>25000</v>
      </c>
      <c r="E29" s="231">
        <v>4100</v>
      </c>
      <c r="F29" s="770">
        <f t="shared" si="0"/>
        <v>102500000</v>
      </c>
      <c r="G29" s="60">
        <v>25000</v>
      </c>
      <c r="H29" s="60">
        <v>25000</v>
      </c>
      <c r="I29" s="60">
        <v>25000</v>
      </c>
      <c r="J29" s="60">
        <v>25000</v>
      </c>
      <c r="K29" s="60">
        <v>25000</v>
      </c>
      <c r="L29" s="60">
        <v>25000</v>
      </c>
      <c r="M29" s="60">
        <v>25000</v>
      </c>
      <c r="N29" s="60">
        <v>25000</v>
      </c>
      <c r="O29" s="60">
        <v>25000</v>
      </c>
      <c r="P29" s="60">
        <v>25000</v>
      </c>
      <c r="Q29" s="60">
        <v>25000</v>
      </c>
      <c r="R29" s="56">
        <f t="shared" si="1"/>
        <v>102804100</v>
      </c>
      <c r="S29" s="362">
        <f t="shared" si="2"/>
        <v>1.040839864579271E-2</v>
      </c>
    </row>
    <row r="30" spans="1:19" x14ac:dyDescent="0.25">
      <c r="A30" s="10">
        <f t="shared" si="3"/>
        <v>100028</v>
      </c>
      <c r="B30" s="31" t="s">
        <v>86</v>
      </c>
      <c r="C30" s="10" t="s">
        <v>88</v>
      </c>
      <c r="D30" s="60">
        <v>25000</v>
      </c>
      <c r="E30" s="235">
        <v>2350</v>
      </c>
      <c r="F30" s="770">
        <f t="shared" si="0"/>
        <v>58750000</v>
      </c>
      <c r="G30" s="60">
        <v>25000</v>
      </c>
      <c r="H30" s="60">
        <v>25000</v>
      </c>
      <c r="I30" s="60">
        <v>25000</v>
      </c>
      <c r="J30" s="60">
        <v>25000</v>
      </c>
      <c r="K30" s="60">
        <v>25000</v>
      </c>
      <c r="L30" s="60">
        <v>25000</v>
      </c>
      <c r="M30" s="60">
        <v>25000</v>
      </c>
      <c r="N30" s="60">
        <v>25000</v>
      </c>
      <c r="O30" s="60">
        <v>25000</v>
      </c>
      <c r="P30" s="60">
        <v>25000</v>
      </c>
      <c r="Q30" s="60">
        <v>25000</v>
      </c>
      <c r="R30" s="56">
        <f t="shared" si="1"/>
        <v>59052350</v>
      </c>
      <c r="S30" s="362">
        <f t="shared" si="2"/>
        <v>5.9787537634284731E-3</v>
      </c>
    </row>
    <row r="31" spans="1:19" x14ac:dyDescent="0.25">
      <c r="A31" s="10">
        <f t="shared" si="3"/>
        <v>100029</v>
      </c>
      <c r="B31" s="31" t="s">
        <v>89</v>
      </c>
      <c r="C31" s="10" t="s">
        <v>88</v>
      </c>
      <c r="D31" s="60">
        <v>20000</v>
      </c>
      <c r="E31" s="235">
        <v>3000</v>
      </c>
      <c r="F31" s="770">
        <f t="shared" si="0"/>
        <v>60000000</v>
      </c>
      <c r="G31" s="60">
        <v>20000</v>
      </c>
      <c r="H31" s="60">
        <v>20000</v>
      </c>
      <c r="I31" s="60">
        <v>20000</v>
      </c>
      <c r="J31" s="60">
        <v>20000</v>
      </c>
      <c r="K31" s="60">
        <v>20000</v>
      </c>
      <c r="L31" s="60">
        <v>20000</v>
      </c>
      <c r="M31" s="60">
        <v>20000</v>
      </c>
      <c r="N31" s="60">
        <v>20000</v>
      </c>
      <c r="O31" s="60">
        <v>20000</v>
      </c>
      <c r="P31" s="60">
        <v>20000</v>
      </c>
      <c r="Q31" s="60">
        <v>20000</v>
      </c>
      <c r="R31" s="56">
        <f t="shared" si="1"/>
        <v>60243000</v>
      </c>
      <c r="S31" s="362">
        <f t="shared" si="2"/>
        <v>6.099301094202373E-3</v>
      </c>
    </row>
    <row r="32" spans="1:19" x14ac:dyDescent="0.25">
      <c r="A32" s="10">
        <f t="shared" si="3"/>
        <v>100030</v>
      </c>
      <c r="B32" s="31" t="s">
        <v>91</v>
      </c>
      <c r="C32" s="10" t="s">
        <v>88</v>
      </c>
      <c r="D32" s="60">
        <v>15000</v>
      </c>
      <c r="E32" s="235">
        <v>2300</v>
      </c>
      <c r="F32" s="770">
        <f t="shared" si="0"/>
        <v>34500000</v>
      </c>
      <c r="G32" s="60">
        <v>15000</v>
      </c>
      <c r="H32" s="60">
        <v>15000</v>
      </c>
      <c r="I32" s="60">
        <v>15000</v>
      </c>
      <c r="J32" s="60">
        <v>15000</v>
      </c>
      <c r="K32" s="60">
        <v>15000</v>
      </c>
      <c r="L32" s="60">
        <v>15000</v>
      </c>
      <c r="M32" s="60">
        <v>15000</v>
      </c>
      <c r="N32" s="60">
        <v>15000</v>
      </c>
      <c r="O32" s="60">
        <v>15000</v>
      </c>
      <c r="P32" s="60">
        <v>15000</v>
      </c>
      <c r="Q32" s="60">
        <v>15000</v>
      </c>
      <c r="R32" s="56">
        <f t="shared" si="1"/>
        <v>34682300</v>
      </c>
      <c r="S32" s="362">
        <f t="shared" si="2"/>
        <v>3.5114086340231223E-3</v>
      </c>
    </row>
    <row r="33" spans="1:19" x14ac:dyDescent="0.25">
      <c r="A33" s="10">
        <f t="shared" si="3"/>
        <v>100031</v>
      </c>
      <c r="B33" s="31" t="s">
        <v>93</v>
      </c>
      <c r="C33" s="10" t="s">
        <v>88</v>
      </c>
      <c r="D33" s="60">
        <v>20000</v>
      </c>
      <c r="E33" s="235">
        <v>3800</v>
      </c>
      <c r="F33" s="770">
        <f t="shared" si="0"/>
        <v>76000000</v>
      </c>
      <c r="G33" s="60">
        <v>20000</v>
      </c>
      <c r="H33" s="60">
        <v>20000</v>
      </c>
      <c r="I33" s="60">
        <v>20000</v>
      </c>
      <c r="J33" s="60">
        <v>20000</v>
      </c>
      <c r="K33" s="60">
        <v>20000</v>
      </c>
      <c r="L33" s="60">
        <v>20000</v>
      </c>
      <c r="M33" s="60">
        <v>20000</v>
      </c>
      <c r="N33" s="60">
        <v>20000</v>
      </c>
      <c r="O33" s="60">
        <v>20000</v>
      </c>
      <c r="P33" s="60">
        <v>20000</v>
      </c>
      <c r="Q33" s="60">
        <v>20000</v>
      </c>
      <c r="R33" s="56">
        <f t="shared" si="1"/>
        <v>76243800</v>
      </c>
      <c r="S33" s="362">
        <f t="shared" si="2"/>
        <v>7.7193017075203249E-3</v>
      </c>
    </row>
    <row r="34" spans="1:19" x14ac:dyDescent="0.25">
      <c r="A34" s="10">
        <f t="shared" si="3"/>
        <v>100032</v>
      </c>
      <c r="B34" s="31" t="s">
        <v>95</v>
      </c>
      <c r="C34" s="10" t="s">
        <v>88</v>
      </c>
      <c r="D34" s="60">
        <v>20000</v>
      </c>
      <c r="E34" s="235">
        <v>4000</v>
      </c>
      <c r="F34" s="770">
        <f t="shared" si="0"/>
        <v>80000000</v>
      </c>
      <c r="G34" s="60">
        <v>20000</v>
      </c>
      <c r="H34" s="60">
        <v>20000</v>
      </c>
      <c r="I34" s="60">
        <v>20000</v>
      </c>
      <c r="J34" s="60">
        <v>20000</v>
      </c>
      <c r="K34" s="60">
        <v>20000</v>
      </c>
      <c r="L34" s="60">
        <v>20000</v>
      </c>
      <c r="M34" s="60">
        <v>20000</v>
      </c>
      <c r="N34" s="60">
        <v>20000</v>
      </c>
      <c r="O34" s="60">
        <v>20000</v>
      </c>
      <c r="P34" s="60">
        <v>20000</v>
      </c>
      <c r="Q34" s="60">
        <v>20000</v>
      </c>
      <c r="R34" s="56">
        <f t="shared" si="1"/>
        <v>80244000</v>
      </c>
      <c r="S34" s="362">
        <f t="shared" si="2"/>
        <v>8.124301860849812E-3</v>
      </c>
    </row>
    <row r="35" spans="1:19" x14ac:dyDescent="0.25">
      <c r="A35" s="3">
        <v>100033</v>
      </c>
      <c r="B35" s="33" t="s">
        <v>22</v>
      </c>
      <c r="C35" s="22" t="s">
        <v>97</v>
      </c>
      <c r="D35" s="48">
        <v>253800</v>
      </c>
      <c r="E35" s="235">
        <v>1910</v>
      </c>
      <c r="F35" s="770">
        <f t="shared" si="0"/>
        <v>484758000</v>
      </c>
      <c r="G35" s="48">
        <v>273089</v>
      </c>
      <c r="H35" s="48">
        <v>245425</v>
      </c>
      <c r="I35" s="48">
        <v>306679</v>
      </c>
      <c r="J35" s="48">
        <v>279643</v>
      </c>
      <c r="K35" s="48">
        <v>226110</v>
      </c>
      <c r="L35" s="48">
        <v>331121</v>
      </c>
      <c r="M35" s="48">
        <v>317596</v>
      </c>
      <c r="N35" s="48">
        <v>249525</v>
      </c>
      <c r="O35" s="48">
        <v>222356</v>
      </c>
      <c r="P35" s="48">
        <v>319632</v>
      </c>
      <c r="Q35" s="48">
        <v>408603</v>
      </c>
      <c r="R35" s="56">
        <f t="shared" si="1"/>
        <v>488193489</v>
      </c>
      <c r="S35" s="362">
        <f t="shared" si="2"/>
        <v>4.9427138117958506E-2</v>
      </c>
    </row>
    <row r="36" spans="1:19" x14ac:dyDescent="0.25">
      <c r="A36" s="3">
        <v>100034</v>
      </c>
      <c r="B36" s="35" t="s">
        <v>23</v>
      </c>
      <c r="C36" s="22" t="s">
        <v>97</v>
      </c>
      <c r="D36" s="48">
        <v>236790</v>
      </c>
      <c r="E36" s="235">
        <v>2170</v>
      </c>
      <c r="F36" s="770">
        <f t="shared" si="0"/>
        <v>513834300</v>
      </c>
      <c r="G36" s="48">
        <v>254786</v>
      </c>
      <c r="H36" s="48">
        <v>228976</v>
      </c>
      <c r="I36" s="48">
        <v>286125</v>
      </c>
      <c r="J36" s="48">
        <v>260901</v>
      </c>
      <c r="K36" s="48">
        <v>210956</v>
      </c>
      <c r="L36" s="48">
        <v>308929</v>
      </c>
      <c r="M36" s="48">
        <v>296311</v>
      </c>
      <c r="N36" s="48">
        <v>232802</v>
      </c>
      <c r="O36" s="48">
        <v>207454</v>
      </c>
      <c r="P36" s="48">
        <v>298210</v>
      </c>
      <c r="Q36" s="48">
        <v>381218</v>
      </c>
      <c r="R36" s="56">
        <f t="shared" si="1"/>
        <v>517039928</v>
      </c>
      <c r="S36" s="362">
        <f t="shared" si="2"/>
        <v>5.2347695144609602E-2</v>
      </c>
    </row>
    <row r="37" spans="1:19" x14ac:dyDescent="0.25">
      <c r="A37" s="3">
        <v>100035</v>
      </c>
      <c r="B37" s="35" t="s">
        <v>24</v>
      </c>
      <c r="C37" s="22" t="s">
        <v>97</v>
      </c>
      <c r="D37" s="48">
        <v>189500</v>
      </c>
      <c r="E37" s="235">
        <v>1670</v>
      </c>
      <c r="F37" s="770">
        <f t="shared" si="0"/>
        <v>316465000</v>
      </c>
      <c r="G37" s="48">
        <v>203902</v>
      </c>
      <c r="H37" s="48">
        <v>183247</v>
      </c>
      <c r="I37" s="48">
        <v>228982</v>
      </c>
      <c r="J37" s="48">
        <v>208796</v>
      </c>
      <c r="K37" s="48">
        <v>168825</v>
      </c>
      <c r="L37" s="48">
        <v>247232</v>
      </c>
      <c r="M37" s="48">
        <v>237134</v>
      </c>
      <c r="N37" s="48">
        <v>186308</v>
      </c>
      <c r="O37" s="48">
        <v>166023</v>
      </c>
      <c r="P37" s="48">
        <v>238653</v>
      </c>
      <c r="Q37" s="48">
        <v>305084</v>
      </c>
      <c r="R37" s="56">
        <f t="shared" si="1"/>
        <v>319030356</v>
      </c>
      <c r="S37" s="362">
        <f t="shared" si="2"/>
        <v>3.2300220763152115E-2</v>
      </c>
    </row>
    <row r="38" spans="1:19" x14ac:dyDescent="0.25">
      <c r="A38" s="3">
        <v>100036</v>
      </c>
      <c r="B38" s="35" t="s">
        <v>25</v>
      </c>
      <c r="C38" s="22" t="s">
        <v>97</v>
      </c>
      <c r="D38" s="48">
        <v>93600</v>
      </c>
      <c r="E38" s="235">
        <v>1020</v>
      </c>
      <c r="F38" s="770">
        <f t="shared" si="0"/>
        <v>95472000</v>
      </c>
      <c r="G38" s="48">
        <v>100714</v>
      </c>
      <c r="H38" s="48">
        <v>90511</v>
      </c>
      <c r="I38" s="48">
        <v>113101</v>
      </c>
      <c r="J38" s="48">
        <v>103131</v>
      </c>
      <c r="K38" s="48">
        <v>83388</v>
      </c>
      <c r="L38" s="48">
        <v>122116</v>
      </c>
      <c r="M38" s="48">
        <v>117128</v>
      </c>
      <c r="N38" s="48">
        <v>92024</v>
      </c>
      <c r="O38" s="48">
        <v>82004</v>
      </c>
      <c r="P38" s="48">
        <v>117878</v>
      </c>
      <c r="Q38" s="48">
        <v>150691</v>
      </c>
      <c r="R38" s="56">
        <f t="shared" si="1"/>
        <v>96739306</v>
      </c>
      <c r="S38" s="362">
        <f t="shared" si="2"/>
        <v>9.7943687223109449E-3</v>
      </c>
    </row>
    <row r="39" spans="1:19" x14ac:dyDescent="0.25">
      <c r="A39" s="3">
        <v>100037</v>
      </c>
      <c r="B39" s="35" t="s">
        <v>26</v>
      </c>
      <c r="C39" s="22" t="s">
        <v>97</v>
      </c>
      <c r="D39" s="48">
        <v>103540</v>
      </c>
      <c r="E39" s="235">
        <v>1430</v>
      </c>
      <c r="F39" s="770">
        <f t="shared" si="0"/>
        <v>148062200</v>
      </c>
      <c r="G39" s="48">
        <v>111409</v>
      </c>
      <c r="H39" s="48">
        <v>100123</v>
      </c>
      <c r="I39" s="48">
        <v>125112</v>
      </c>
      <c r="J39" s="48">
        <v>114083</v>
      </c>
      <c r="K39" s="48">
        <v>92243</v>
      </c>
      <c r="L39" s="48">
        <v>135084</v>
      </c>
      <c r="M39" s="48">
        <v>129566</v>
      </c>
      <c r="N39" s="48">
        <v>101796</v>
      </c>
      <c r="O39" s="48">
        <v>90712</v>
      </c>
      <c r="P39" s="48">
        <v>130397</v>
      </c>
      <c r="Q39" s="48">
        <v>166693</v>
      </c>
      <c r="R39" s="56">
        <f t="shared" si="1"/>
        <v>149464388</v>
      </c>
      <c r="S39" s="362">
        <f t="shared" si="2"/>
        <v>1.5132518388405094E-2</v>
      </c>
    </row>
    <row r="40" spans="1:19" x14ac:dyDescent="0.25">
      <c r="A40" s="3">
        <v>100038</v>
      </c>
      <c r="B40" s="35" t="s">
        <v>27</v>
      </c>
      <c r="C40" s="22" t="s">
        <v>97</v>
      </c>
      <c r="D40" s="48">
        <v>86230</v>
      </c>
      <c r="E40" s="235">
        <v>13260</v>
      </c>
      <c r="F40" s="770">
        <f t="shared" si="0"/>
        <v>1143409800</v>
      </c>
      <c r="G40" s="48">
        <v>92783</v>
      </c>
      <c r="H40" s="48">
        <v>83384</v>
      </c>
      <c r="I40" s="48">
        <v>104196</v>
      </c>
      <c r="J40" s="48">
        <v>95010</v>
      </c>
      <c r="K40" s="48">
        <v>76822</v>
      </c>
      <c r="L40" s="48">
        <v>112500</v>
      </c>
      <c r="M40" s="48">
        <v>107905</v>
      </c>
      <c r="N40" s="48">
        <v>84778</v>
      </c>
      <c r="O40" s="48">
        <v>75547</v>
      </c>
      <c r="P40" s="48">
        <v>108597</v>
      </c>
      <c r="Q40" s="48">
        <v>138825</v>
      </c>
      <c r="R40" s="56">
        <f t="shared" si="1"/>
        <v>1144589637</v>
      </c>
      <c r="S40" s="362">
        <f t="shared" si="2"/>
        <v>0.11588395042356452</v>
      </c>
    </row>
    <row r="41" spans="1:19" x14ac:dyDescent="0.25">
      <c r="A41" s="3">
        <v>100039</v>
      </c>
      <c r="B41" s="35" t="s">
        <v>28</v>
      </c>
      <c r="C41" s="22" t="s">
        <v>97</v>
      </c>
      <c r="D41" s="48">
        <v>47900</v>
      </c>
      <c r="E41" s="235">
        <v>2840</v>
      </c>
      <c r="F41" s="770">
        <f t="shared" si="0"/>
        <v>136036000</v>
      </c>
      <c r="G41" s="48">
        <v>51540</v>
      </c>
      <c r="H41" s="48">
        <v>46319</v>
      </c>
      <c r="I41" s="48">
        <v>57880</v>
      </c>
      <c r="J41" s="48">
        <v>52777</v>
      </c>
      <c r="K41" s="48">
        <v>42674</v>
      </c>
      <c r="L41" s="48">
        <v>62493</v>
      </c>
      <c r="M41" s="48">
        <v>59940</v>
      </c>
      <c r="N41" s="48">
        <v>47093</v>
      </c>
      <c r="O41" s="48">
        <v>41966</v>
      </c>
      <c r="P41" s="48">
        <v>60325</v>
      </c>
      <c r="Q41" s="48">
        <v>77116</v>
      </c>
      <c r="R41" s="56">
        <f t="shared" si="1"/>
        <v>136686863</v>
      </c>
      <c r="S41" s="362">
        <f t="shared" si="2"/>
        <v>1.3838858175372904E-2</v>
      </c>
    </row>
    <row r="42" spans="1:19" x14ac:dyDescent="0.25">
      <c r="A42" s="3">
        <v>100040</v>
      </c>
      <c r="B42" s="35" t="s">
        <v>29</v>
      </c>
      <c r="C42" s="22" t="s">
        <v>97</v>
      </c>
      <c r="D42" s="48">
        <v>43210</v>
      </c>
      <c r="E42" s="235">
        <v>3800</v>
      </c>
      <c r="F42" s="770">
        <f t="shared" si="0"/>
        <v>164198000</v>
      </c>
      <c r="G42" s="48">
        <v>46494</v>
      </c>
      <c r="H42" s="48">
        <v>41784</v>
      </c>
      <c r="I42" s="48">
        <v>52213</v>
      </c>
      <c r="J42" s="48">
        <v>47610</v>
      </c>
      <c r="K42" s="48">
        <v>38496</v>
      </c>
      <c r="L42" s="48">
        <v>56374</v>
      </c>
      <c r="M42" s="48">
        <v>54071</v>
      </c>
      <c r="N42" s="48">
        <v>42482</v>
      </c>
      <c r="O42" s="48">
        <v>37857</v>
      </c>
      <c r="P42" s="48">
        <v>54418</v>
      </c>
      <c r="Q42" s="48">
        <v>69566</v>
      </c>
      <c r="R42" s="56">
        <f t="shared" si="1"/>
        <v>164786375</v>
      </c>
      <c r="S42" s="362">
        <f t="shared" si="2"/>
        <v>1.668379259577283E-2</v>
      </c>
    </row>
    <row r="43" spans="1:19" x14ac:dyDescent="0.25">
      <c r="A43" s="10">
        <f t="shared" ref="A43:A50" si="4">+A42+1</f>
        <v>100041</v>
      </c>
      <c r="B43" s="35" t="s">
        <v>106</v>
      </c>
      <c r="C43" s="22" t="s">
        <v>108</v>
      </c>
      <c r="D43" s="57">
        <v>51050.720600998502</v>
      </c>
      <c r="E43" s="237">
        <v>3440</v>
      </c>
      <c r="F43" s="770">
        <f t="shared" si="0"/>
        <v>175614478.86743486</v>
      </c>
      <c r="G43" s="57">
        <v>56295.321764504224</v>
      </c>
      <c r="H43" s="57">
        <v>52818.349064599002</v>
      </c>
      <c r="I43" s="57">
        <v>51634.579105255158</v>
      </c>
      <c r="J43" s="57">
        <v>52649.245195556279</v>
      </c>
      <c r="K43" s="57">
        <v>53663.911285857386</v>
      </c>
      <c r="L43" s="57">
        <v>54678.577376158479</v>
      </c>
      <c r="M43" s="57">
        <v>55693.243466459615</v>
      </c>
      <c r="N43" s="57">
        <v>56707.909556760766</v>
      </c>
      <c r="O43" s="57">
        <v>57722.575647061887</v>
      </c>
      <c r="P43" s="57">
        <v>58737.241737362987</v>
      </c>
      <c r="Q43" s="57">
        <v>59751.907827664087</v>
      </c>
      <c r="R43" s="56">
        <f t="shared" si="1"/>
        <v>176279322.45006308</v>
      </c>
      <c r="S43" s="362">
        <f t="shared" si="2"/>
        <v>1.7847395785484169E-2</v>
      </c>
    </row>
    <row r="44" spans="1:19" x14ac:dyDescent="0.25">
      <c r="A44" s="10">
        <f t="shared" si="4"/>
        <v>100042</v>
      </c>
      <c r="B44" s="35" t="s">
        <v>106</v>
      </c>
      <c r="C44" s="22" t="s">
        <v>108</v>
      </c>
      <c r="D44" s="58">
        <v>59974.754022252775</v>
      </c>
      <c r="E44" s="237">
        <v>2060</v>
      </c>
      <c r="F44" s="770">
        <f t="shared" si="0"/>
        <v>123547993.28584072</v>
      </c>
      <c r="G44" s="58">
        <v>65850.136134630753</v>
      </c>
      <c r="H44" s="58">
        <v>62051.376664580333</v>
      </c>
      <c r="I44" s="58">
        <v>60660.675195633958</v>
      </c>
      <c r="J44" s="58">
        <v>61852.712222028866</v>
      </c>
      <c r="K44" s="58">
        <v>63044.74924842373</v>
      </c>
      <c r="L44" s="58">
        <v>63640.767761621166</v>
      </c>
      <c r="M44" s="58">
        <v>65428.823301213502</v>
      </c>
      <c r="N44" s="58">
        <v>66620.860327608403</v>
      </c>
      <c r="O44" s="58">
        <v>67812.897354003289</v>
      </c>
      <c r="P44" s="58">
        <v>69004.934380398176</v>
      </c>
      <c r="Q44" s="58">
        <v>70196.971406793091</v>
      </c>
      <c r="R44" s="56">
        <f t="shared" si="1"/>
        <v>124326192.94385989</v>
      </c>
      <c r="S44" s="362">
        <f t="shared" si="2"/>
        <v>1.2587402431162126E-2</v>
      </c>
    </row>
    <row r="45" spans="1:19" x14ac:dyDescent="0.25">
      <c r="A45" s="10">
        <f t="shared" si="4"/>
        <v>100043</v>
      </c>
      <c r="B45" s="35" t="s">
        <v>112</v>
      </c>
      <c r="C45" s="22" t="s">
        <v>108</v>
      </c>
      <c r="D45" s="58">
        <v>30840.409617569803</v>
      </c>
      <c r="E45" s="237">
        <v>2810</v>
      </c>
      <c r="F45" s="770">
        <f t="shared" si="0"/>
        <v>86661551.025371149</v>
      </c>
      <c r="G45" s="58">
        <v>34008.741939996129</v>
      </c>
      <c r="H45" s="58">
        <v>31908.257146994245</v>
      </c>
      <c r="I45" s="58">
        <v>31193.126194691398</v>
      </c>
      <c r="J45" s="58">
        <v>31806.099282662512</v>
      </c>
      <c r="K45" s="58">
        <v>32419.072370633618</v>
      </c>
      <c r="L45" s="58">
        <v>33032.04545860472</v>
      </c>
      <c r="M45" s="58">
        <v>33645.018546575819</v>
      </c>
      <c r="N45" s="58">
        <v>34257.991634546954</v>
      </c>
      <c r="O45" s="58">
        <v>34870.964722518103</v>
      </c>
      <c r="P45" s="58">
        <v>35483.937810489217</v>
      </c>
      <c r="Q45" s="58">
        <v>36096.910898460315</v>
      </c>
      <c r="R45" s="56">
        <f t="shared" si="1"/>
        <v>87063923.6009949</v>
      </c>
      <c r="S45" s="362">
        <f t="shared" si="2"/>
        <v>8.8147848627243008E-3</v>
      </c>
    </row>
    <row r="46" spans="1:19" x14ac:dyDescent="0.25">
      <c r="A46" s="10">
        <f t="shared" si="4"/>
        <v>100044</v>
      </c>
      <c r="B46" s="35" t="s">
        <v>113</v>
      </c>
      <c r="C46" s="22" t="s">
        <v>108</v>
      </c>
      <c r="D46" s="58">
        <v>25197.270836482563</v>
      </c>
      <c r="E46" s="237">
        <v>4140</v>
      </c>
      <c r="F46" s="770">
        <f t="shared" si="0"/>
        <v>104316701.26303782</v>
      </c>
      <c r="G46" s="58">
        <v>27785.865755230876</v>
      </c>
      <c r="H46" s="58">
        <v>26069.724988182541</v>
      </c>
      <c r="I46" s="58">
        <v>25485.447784598942</v>
      </c>
      <c r="J46" s="58">
        <v>25986.259839451941</v>
      </c>
      <c r="K46" s="58">
        <v>26487.071894304932</v>
      </c>
      <c r="L46" s="58">
        <v>26987.883949157938</v>
      </c>
      <c r="M46" s="58">
        <v>27488.696004010937</v>
      </c>
      <c r="N46" s="58">
        <v>27989.508058863936</v>
      </c>
      <c r="O46" s="58">
        <v>28490.320113716934</v>
      </c>
      <c r="P46" s="58">
        <v>28991.132168569933</v>
      </c>
      <c r="Q46" s="58">
        <v>29491.944223422935</v>
      </c>
      <c r="R46" s="56">
        <f t="shared" si="1"/>
        <v>104647292.38865381</v>
      </c>
      <c r="S46" s="362">
        <f t="shared" si="2"/>
        <v>1.0595012615099379E-2</v>
      </c>
    </row>
    <row r="47" spans="1:19" x14ac:dyDescent="0.25">
      <c r="A47" s="10">
        <f t="shared" si="4"/>
        <v>100045</v>
      </c>
      <c r="B47" s="35" t="s">
        <v>116</v>
      </c>
      <c r="C47" s="22" t="s">
        <v>108</v>
      </c>
      <c r="D47" s="58">
        <v>25348.111605856921</v>
      </c>
      <c r="E47" s="237">
        <v>2150</v>
      </c>
      <c r="F47" s="770">
        <f t="shared" si="0"/>
        <v>54498439.95259238</v>
      </c>
      <c r="G47" s="58">
        <v>28335.98739488341</v>
      </c>
      <c r="H47" s="58">
        <v>29939.675930392244</v>
      </c>
      <c r="I47" s="58">
        <v>28087.722511588567</v>
      </c>
      <c r="J47" s="58">
        <v>28643.310884941104</v>
      </c>
      <c r="K47" s="58">
        <v>29198.899258293633</v>
      </c>
      <c r="L47" s="58">
        <v>29754.4876316462</v>
      </c>
      <c r="M47" s="58">
        <v>30310.076004998729</v>
      </c>
      <c r="N47" s="58">
        <v>30865.664378351285</v>
      </c>
      <c r="O47" s="58">
        <v>31421.252751703814</v>
      </c>
      <c r="P47" s="58">
        <v>31976.841125056351</v>
      </c>
      <c r="Q47" s="58">
        <v>32532.429498408921</v>
      </c>
      <c r="R47" s="56">
        <f t="shared" si="1"/>
        <v>54857004.411568508</v>
      </c>
      <c r="S47" s="362">
        <f t="shared" si="2"/>
        <v>5.5539960996654255E-3</v>
      </c>
    </row>
    <row r="48" spans="1:19" x14ac:dyDescent="0.25">
      <c r="A48" s="10">
        <f t="shared" si="4"/>
        <v>100046</v>
      </c>
      <c r="B48" s="35" t="s">
        <v>118</v>
      </c>
      <c r="C48" s="22" t="s">
        <v>108</v>
      </c>
      <c r="D48" s="58">
        <v>22047.61198192224</v>
      </c>
      <c r="E48" s="237">
        <v>2150</v>
      </c>
      <c r="F48" s="770">
        <f t="shared" si="0"/>
        <v>47402365.761132814</v>
      </c>
      <c r="G48" s="58">
        <v>24312.632535827022</v>
      </c>
      <c r="H48" s="58">
        <v>24563.845384258311</v>
      </c>
      <c r="I48" s="58">
        <v>22299.76681152407</v>
      </c>
      <c r="J48" s="58">
        <v>22737.977359520442</v>
      </c>
      <c r="K48" s="58">
        <v>23176.187907516836</v>
      </c>
      <c r="L48" s="58">
        <v>23614.398455513234</v>
      </c>
      <c r="M48" s="58">
        <v>24052.609003509599</v>
      </c>
      <c r="N48" s="58">
        <v>24490.819551505952</v>
      </c>
      <c r="O48" s="58">
        <v>24929.030099502339</v>
      </c>
      <c r="P48" s="58">
        <v>25221.170464833267</v>
      </c>
      <c r="Q48" s="58">
        <v>25805.451195495098</v>
      </c>
      <c r="R48" s="56">
        <f t="shared" si="1"/>
        <v>47691767.261883743</v>
      </c>
      <c r="S48" s="362">
        <f t="shared" si="2"/>
        <v>4.8285518358125003E-3</v>
      </c>
    </row>
    <row r="49" spans="1:19" x14ac:dyDescent="0.25">
      <c r="A49" s="10">
        <f t="shared" si="4"/>
        <v>100047</v>
      </c>
      <c r="B49" s="35" t="s">
        <v>119</v>
      </c>
      <c r="C49" s="22" t="s">
        <v>108</v>
      </c>
      <c r="D49" s="58">
        <v>16142.001629621642</v>
      </c>
      <c r="E49" s="237">
        <v>4080</v>
      </c>
      <c r="F49" s="770">
        <f t="shared" si="0"/>
        <v>65859366.648856297</v>
      </c>
      <c r="G49" s="58">
        <v>16363.034974510141</v>
      </c>
      <c r="H49" s="58">
        <v>16700.917570554433</v>
      </c>
      <c r="I49" s="58">
        <v>16326.614987008703</v>
      </c>
      <c r="J49" s="58">
        <v>16647.447709648928</v>
      </c>
      <c r="K49" s="58">
        <v>16968.280432289135</v>
      </c>
      <c r="L49" s="58">
        <v>17289.113154929335</v>
      </c>
      <c r="M49" s="58">
        <v>17609.945877569535</v>
      </c>
      <c r="N49" s="58">
        <v>17930.778600209731</v>
      </c>
      <c r="O49" s="58">
        <v>18251.611322849934</v>
      </c>
      <c r="P49" s="58">
        <v>18572.444045490134</v>
      </c>
      <c r="Q49" s="58">
        <v>18893.276768130334</v>
      </c>
      <c r="R49" s="56">
        <f t="shared" si="1"/>
        <v>66071142.115929112</v>
      </c>
      <c r="S49" s="362">
        <f t="shared" si="2"/>
        <v>6.6893712033412505E-3</v>
      </c>
    </row>
    <row r="50" spans="1:19" ht="15.75" thickBot="1" x14ac:dyDescent="0.3">
      <c r="A50" s="10">
        <f t="shared" si="4"/>
        <v>100048</v>
      </c>
      <c r="B50" s="35" t="s">
        <v>122</v>
      </c>
      <c r="C50" s="22" t="s">
        <v>108</v>
      </c>
      <c r="D50" s="59">
        <v>17585.595271295122</v>
      </c>
      <c r="E50" s="239">
        <v>5560</v>
      </c>
      <c r="F50" s="770">
        <f t="shared" si="0"/>
        <v>97775909.708400875</v>
      </c>
      <c r="G50" s="59">
        <v>19392.218808338217</v>
      </c>
      <c r="H50" s="59">
        <v>18194.495564669061</v>
      </c>
      <c r="I50" s="59">
        <v>17786.718766334681</v>
      </c>
      <c r="J50" s="59">
        <v>18136.243846284182</v>
      </c>
      <c r="K50" s="59">
        <v>18485.76892623365</v>
      </c>
      <c r="L50" s="59">
        <v>18835.2940061831</v>
      </c>
      <c r="M50" s="59">
        <v>19184.819086132586</v>
      </c>
      <c r="N50" s="59">
        <v>19534.344166082083</v>
      </c>
      <c r="O50" s="59">
        <v>19883.869246031583</v>
      </c>
      <c r="P50" s="59">
        <v>20233.39432598108</v>
      </c>
      <c r="Q50" s="59">
        <v>20582.919405930585</v>
      </c>
      <c r="R50" s="56">
        <f t="shared" si="1"/>
        <v>98009305.389820382</v>
      </c>
      <c r="S50" s="362">
        <f t="shared" si="2"/>
        <v>9.9229497801594548E-3</v>
      </c>
    </row>
    <row r="51" spans="1:19" x14ac:dyDescent="0.25">
      <c r="A51" s="8"/>
      <c r="B51" s="8"/>
      <c r="C51" s="8"/>
      <c r="D51" s="56">
        <f>SUM(D3:D50)</f>
        <v>2888207.2415150292</v>
      </c>
      <c r="E51" s="56">
        <f t="shared" ref="E51:F51" si="5">SUM(E3:E50)</f>
        <v>183730</v>
      </c>
      <c r="F51" s="858">
        <f t="shared" si="5"/>
        <v>9838831713.8095913</v>
      </c>
      <c r="G51" s="56">
        <f t="shared" ref="G51:Q51" si="6">SUM(G3:G50)</f>
        <v>3053297.7829951742</v>
      </c>
      <c r="H51" s="56">
        <f t="shared" si="6"/>
        <v>2913735.4934913525</v>
      </c>
      <c r="I51" s="56">
        <f t="shared" si="6"/>
        <v>3201987.7317369818</v>
      </c>
      <c r="J51" s="56">
        <f t="shared" si="6"/>
        <v>3092580.0871011494</v>
      </c>
      <c r="K51" s="56">
        <f t="shared" si="6"/>
        <v>2826742.0900787292</v>
      </c>
      <c r="L51" s="56">
        <f t="shared" si="6"/>
        <v>3401139.2696580896</v>
      </c>
      <c r="M51" s="56">
        <f t="shared" si="6"/>
        <v>3353025.0073543726</v>
      </c>
      <c r="N51" s="56">
        <f t="shared" si="6"/>
        <v>3021311.1301280591</v>
      </c>
      <c r="O51" s="56">
        <f t="shared" si="6"/>
        <v>2903520.2693603877</v>
      </c>
      <c r="P51" s="56">
        <f t="shared" si="6"/>
        <v>3435391.9973932365</v>
      </c>
      <c r="Q51" s="56">
        <f t="shared" si="6"/>
        <v>3926915.7674869741</v>
      </c>
    </row>
    <row r="52" spans="1:19" x14ac:dyDescent="0.25">
      <c r="A52" s="8"/>
      <c r="B52" s="8"/>
      <c r="C52" s="8"/>
      <c r="D52" s="56"/>
      <c r="E52" s="56"/>
      <c r="F52" s="56"/>
      <c r="R52" s="56">
        <f>SUM(R3:R51)</f>
        <v>9877033297.6778851</v>
      </c>
    </row>
    <row r="53" spans="1:19" x14ac:dyDescent="0.25">
      <c r="A53" s="8"/>
      <c r="B53" s="8"/>
      <c r="C53" s="8"/>
    </row>
    <row r="54" spans="1:19" x14ac:dyDescent="0.25">
      <c r="A54" s="8"/>
      <c r="B54" s="8"/>
      <c r="C54" s="8"/>
    </row>
    <row r="55" spans="1:19" x14ac:dyDescent="0.25">
      <c r="A55" s="8"/>
      <c r="B55" s="8"/>
      <c r="C55" s="8"/>
    </row>
    <row r="56" spans="1:19" x14ac:dyDescent="0.25">
      <c r="A56" s="8"/>
      <c r="B56" s="8"/>
      <c r="C56" s="8"/>
    </row>
    <row r="57" spans="1:19" x14ac:dyDescent="0.25">
      <c r="A57" s="8"/>
      <c r="B57" s="8"/>
      <c r="C57" s="8"/>
    </row>
    <row r="58" spans="1:19" x14ac:dyDescent="0.25">
      <c r="A58" s="9"/>
      <c r="B58" s="9"/>
      <c r="C58" s="9"/>
    </row>
    <row r="59" spans="1:19" x14ac:dyDescent="0.25">
      <c r="A59" s="2"/>
      <c r="B59" s="2"/>
      <c r="C59" s="2"/>
    </row>
    <row r="60" spans="1:19" x14ac:dyDescent="0.25">
      <c r="A60" s="2"/>
      <c r="B60" s="2"/>
      <c r="C60" s="2"/>
    </row>
    <row r="61" spans="1:19" x14ac:dyDescent="0.25">
      <c r="A61" s="8"/>
      <c r="B61" s="8"/>
      <c r="C61" s="8"/>
    </row>
    <row r="62" spans="1:19" x14ac:dyDescent="0.25">
      <c r="A62" s="8"/>
      <c r="B62" s="8"/>
      <c r="C62" s="8"/>
    </row>
    <row r="63" spans="1:19" x14ac:dyDescent="0.25">
      <c r="A63" s="8"/>
      <c r="B63" s="8"/>
      <c r="C63" s="8"/>
    </row>
    <row r="64" spans="1:19" x14ac:dyDescent="0.25">
      <c r="A64" s="8"/>
      <c r="B64" s="8"/>
      <c r="C64" s="8"/>
    </row>
    <row r="65" spans="1:3" x14ac:dyDescent="0.25">
      <c r="A65" s="8"/>
      <c r="B65" s="8"/>
      <c r="C65" s="8"/>
    </row>
    <row r="66" spans="1:3" x14ac:dyDescent="0.25">
      <c r="A66" s="8"/>
      <c r="B66" s="8"/>
      <c r="C66" s="8"/>
    </row>
    <row r="67" spans="1:3" x14ac:dyDescent="0.25">
      <c r="A67" s="8"/>
      <c r="B67" s="8"/>
      <c r="C67" s="8"/>
    </row>
    <row r="68" spans="1:3" x14ac:dyDescent="0.25">
      <c r="A68" s="8"/>
      <c r="B68" s="8"/>
      <c r="C68" s="8"/>
    </row>
    <row r="69" spans="1:3" x14ac:dyDescent="0.25">
      <c r="A69" s="8"/>
      <c r="B69" s="8"/>
      <c r="C69" s="8"/>
    </row>
    <row r="70" spans="1:3" x14ac:dyDescent="0.25">
      <c r="A70" s="8"/>
      <c r="B70" s="8"/>
      <c r="C70" s="8"/>
    </row>
    <row r="71" spans="1:3" x14ac:dyDescent="0.25">
      <c r="A71" s="8"/>
      <c r="B71" s="8"/>
      <c r="C71" s="8"/>
    </row>
    <row r="72" spans="1:3" x14ac:dyDescent="0.25">
      <c r="A72" s="8"/>
      <c r="B72" s="8"/>
      <c r="C72" s="8"/>
    </row>
    <row r="73" spans="1:3" x14ac:dyDescent="0.25">
      <c r="A73" s="2"/>
      <c r="B73" s="2"/>
      <c r="C73" s="2"/>
    </row>
    <row r="74" spans="1:3" x14ac:dyDescent="0.25">
      <c r="A74" s="2"/>
      <c r="B74" s="2"/>
      <c r="C74" s="2"/>
    </row>
    <row r="75" spans="1:3" x14ac:dyDescent="0.25">
      <c r="A75" s="2"/>
      <c r="B75" s="2"/>
      <c r="C75" s="2"/>
    </row>
    <row r="76" spans="1:3" x14ac:dyDescent="0.25">
      <c r="A76" s="8"/>
      <c r="B76" s="8"/>
      <c r="C76" s="8"/>
    </row>
    <row r="77" spans="1:3" x14ac:dyDescent="0.25">
      <c r="A77" s="8"/>
      <c r="B77" s="8"/>
      <c r="C77" s="8"/>
    </row>
    <row r="78" spans="1:3" x14ac:dyDescent="0.25">
      <c r="A78" s="8"/>
      <c r="B78" s="8"/>
      <c r="C78" s="8"/>
    </row>
    <row r="79" spans="1:3" x14ac:dyDescent="0.25">
      <c r="A79" s="8"/>
      <c r="B79" s="8"/>
      <c r="C79" s="8"/>
    </row>
    <row r="80" spans="1:3" x14ac:dyDescent="0.25">
      <c r="A80" s="8"/>
      <c r="B80" s="8"/>
      <c r="C80" s="8"/>
    </row>
    <row r="81" spans="1:3" x14ac:dyDescent="0.25">
      <c r="A81" s="8"/>
      <c r="B81" s="8"/>
      <c r="C81" s="8"/>
    </row>
    <row r="82" spans="1:3" x14ac:dyDescent="0.25">
      <c r="A82" s="8"/>
      <c r="B82" s="8"/>
      <c r="C82" s="8"/>
    </row>
    <row r="83" spans="1:3" x14ac:dyDescent="0.25">
      <c r="A83" s="8"/>
      <c r="B83" s="8"/>
      <c r="C83" s="8"/>
    </row>
    <row r="84" spans="1:3" x14ac:dyDescent="0.25">
      <c r="A84" s="8"/>
      <c r="B84" s="8"/>
      <c r="C84" s="8"/>
    </row>
    <row r="85" spans="1:3" x14ac:dyDescent="0.25">
      <c r="A85" s="8"/>
      <c r="B85" s="8"/>
      <c r="C85" s="8"/>
    </row>
    <row r="86" spans="1:3" x14ac:dyDescent="0.25">
      <c r="A86" s="8"/>
      <c r="B86" s="8"/>
      <c r="C86" s="8"/>
    </row>
    <row r="87" spans="1:3" x14ac:dyDescent="0.25">
      <c r="A87" s="8"/>
      <c r="B87" s="8"/>
      <c r="C87" s="8"/>
    </row>
    <row r="88" spans="1:3" x14ac:dyDescent="0.25">
      <c r="A88" s="2"/>
      <c r="B88" s="2"/>
      <c r="C88" s="2"/>
    </row>
    <row r="89" spans="1:3" x14ac:dyDescent="0.25">
      <c r="A89" s="2"/>
      <c r="B89" s="2"/>
      <c r="C89" s="2"/>
    </row>
    <row r="90" spans="1:3" x14ac:dyDescent="0.25">
      <c r="A90" s="2"/>
      <c r="B90" s="2"/>
      <c r="C90" s="2"/>
    </row>
    <row r="91" spans="1:3" x14ac:dyDescent="0.25">
      <c r="A91" s="8"/>
      <c r="B91" s="8"/>
      <c r="C91" s="8"/>
    </row>
    <row r="92" spans="1:3" x14ac:dyDescent="0.25">
      <c r="A92" s="8"/>
      <c r="B92" s="8"/>
      <c r="C92" s="8"/>
    </row>
    <row r="93" spans="1:3" x14ac:dyDescent="0.25">
      <c r="A93" s="8"/>
      <c r="B93" s="8"/>
      <c r="C93" s="8"/>
    </row>
    <row r="94" spans="1:3" x14ac:dyDescent="0.25">
      <c r="A94" s="8"/>
      <c r="B94" s="8"/>
      <c r="C94" s="8"/>
    </row>
    <row r="95" spans="1:3" x14ac:dyDescent="0.25">
      <c r="A95" s="8"/>
      <c r="B95" s="8"/>
      <c r="C95" s="8"/>
    </row>
    <row r="96" spans="1:3" x14ac:dyDescent="0.25">
      <c r="A96" s="8"/>
      <c r="B96" s="8"/>
      <c r="C96" s="8"/>
    </row>
    <row r="97" spans="1:3" x14ac:dyDescent="0.25">
      <c r="A97" s="8"/>
      <c r="B97" s="8"/>
      <c r="C97" s="8"/>
    </row>
    <row r="98" spans="1:3" x14ac:dyDescent="0.25">
      <c r="A98" s="8"/>
      <c r="B98" s="8"/>
      <c r="C98" s="8"/>
    </row>
    <row r="99" spans="1:3" x14ac:dyDescent="0.25">
      <c r="A99" s="8"/>
      <c r="B99" s="8"/>
      <c r="C99" s="8"/>
    </row>
    <row r="100" spans="1:3" x14ac:dyDescent="0.25">
      <c r="A100" s="8"/>
      <c r="B100" s="8"/>
      <c r="C100" s="8"/>
    </row>
    <row r="101" spans="1:3" x14ac:dyDescent="0.25">
      <c r="A101" s="8"/>
      <c r="B101" s="8"/>
      <c r="C101" s="8"/>
    </row>
    <row r="102" spans="1:3" x14ac:dyDescent="0.25">
      <c r="A102" s="8"/>
      <c r="B102" s="8"/>
      <c r="C102" s="8"/>
    </row>
    <row r="103" spans="1:3" x14ac:dyDescent="0.25">
      <c r="A103" s="2"/>
      <c r="B103" s="2"/>
      <c r="C103" s="2"/>
    </row>
    <row r="104" spans="1:3" x14ac:dyDescent="0.25">
      <c r="A104" s="2"/>
      <c r="B104" s="2"/>
      <c r="C104" s="2"/>
    </row>
    <row r="105" spans="1:3" x14ac:dyDescent="0.25">
      <c r="A105" s="2"/>
      <c r="B105" s="2"/>
      <c r="C105" s="2"/>
    </row>
    <row r="106" spans="1:3" x14ac:dyDescent="0.25">
      <c r="A106" s="8"/>
      <c r="B106" s="8"/>
      <c r="C106" s="8"/>
    </row>
    <row r="107" spans="1:3" x14ac:dyDescent="0.25">
      <c r="A107" s="8"/>
      <c r="B107" s="8"/>
      <c r="C107" s="8"/>
    </row>
    <row r="108" spans="1:3" x14ac:dyDescent="0.25">
      <c r="A108" s="8"/>
      <c r="B108" s="8"/>
      <c r="C108" s="8"/>
    </row>
    <row r="109" spans="1:3" x14ac:dyDescent="0.25">
      <c r="A109" s="8"/>
      <c r="B109" s="8"/>
      <c r="C109" s="8"/>
    </row>
    <row r="110" spans="1:3" x14ac:dyDescent="0.25">
      <c r="A110" s="8"/>
      <c r="B110" s="8"/>
      <c r="C110" s="8"/>
    </row>
    <row r="111" spans="1:3" x14ac:dyDescent="0.25">
      <c r="A111" s="8"/>
      <c r="B111" s="8"/>
      <c r="C111" s="8"/>
    </row>
    <row r="112" spans="1:3" x14ac:dyDescent="0.25">
      <c r="A112" s="8"/>
      <c r="B112" s="8"/>
      <c r="C112" s="8"/>
    </row>
    <row r="113" spans="1:3" x14ac:dyDescent="0.25">
      <c r="A113" s="8"/>
      <c r="B113" s="8"/>
      <c r="C113" s="8"/>
    </row>
    <row r="114" spans="1:3" x14ac:dyDescent="0.25">
      <c r="A114" s="8"/>
      <c r="B114" s="8"/>
      <c r="C114" s="8"/>
    </row>
    <row r="115" spans="1:3" x14ac:dyDescent="0.25">
      <c r="A115" s="8"/>
      <c r="B115" s="8"/>
      <c r="C115" s="8"/>
    </row>
    <row r="116" spans="1:3" x14ac:dyDescent="0.25">
      <c r="A116" s="8"/>
      <c r="B116" s="8"/>
      <c r="C116" s="8"/>
    </row>
    <row r="117" spans="1:3" x14ac:dyDescent="0.25">
      <c r="A117" s="8"/>
      <c r="B117" s="8"/>
      <c r="C117" s="8"/>
    </row>
  </sheetData>
  <mergeCells count="1">
    <mergeCell ref="D1:L1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zoomScale="68" zoomScaleNormal="68" workbookViewId="0">
      <selection activeCell="F4" sqref="F4"/>
    </sheetView>
  </sheetViews>
  <sheetFormatPr baseColWidth="10" defaultRowHeight="15" x14ac:dyDescent="0.25"/>
  <cols>
    <col min="1" max="1" width="13.42578125" style="46" customWidth="1"/>
    <col min="2" max="2" width="45.140625" bestFit="1" customWidth="1"/>
    <col min="3" max="3" width="20" customWidth="1"/>
    <col min="4" max="4" width="13.5703125" style="1" customWidth="1"/>
    <col min="5" max="5" width="11.28515625" style="1" bestFit="1" customWidth="1"/>
    <col min="6" max="6" width="12.85546875" style="1" customWidth="1"/>
    <col min="7" max="7" width="21" style="1" bestFit="1" customWidth="1"/>
    <col min="8" max="8" width="20" style="1" customWidth="1"/>
    <col min="9" max="9" width="13.42578125" style="1" customWidth="1"/>
    <col min="10" max="10" width="14.28515625" style="1" customWidth="1"/>
    <col min="11" max="11" width="13.85546875" customWidth="1"/>
    <col min="12" max="12" width="13.7109375" customWidth="1"/>
    <col min="13" max="13" width="13.7109375" style="1" customWidth="1"/>
    <col min="14" max="14" width="19" style="1" bestFit="1" customWidth="1"/>
    <col min="15" max="15" width="23.42578125" style="1" bestFit="1" customWidth="1"/>
    <col min="16" max="18" width="11.5703125" bestFit="1" customWidth="1"/>
    <col min="19" max="19" width="19" style="1" bestFit="1" customWidth="1"/>
    <col min="20" max="20" width="23.42578125" style="1" bestFit="1" customWidth="1"/>
    <col min="21" max="21" width="11.5703125" bestFit="1" customWidth="1"/>
    <col min="22" max="22" width="22.7109375" style="1" customWidth="1"/>
    <col min="23" max="23" width="17.28515625" style="1" customWidth="1"/>
    <col min="24" max="24" width="17.28515625" customWidth="1"/>
    <col min="25" max="26" width="17.28515625" style="1" customWidth="1"/>
    <col min="27" max="29" width="17.28515625" customWidth="1"/>
    <col min="30" max="30" width="11.5703125" bestFit="1" customWidth="1"/>
    <col min="31" max="32" width="18.85546875" customWidth="1"/>
    <col min="33" max="33" width="28.28515625" customWidth="1"/>
  </cols>
  <sheetData>
    <row r="1" spans="1:32" s="1" customFormat="1" ht="47.25" thickBot="1" x14ac:dyDescent="0.75">
      <c r="A1" s="802" t="s">
        <v>154</v>
      </c>
      <c r="B1" s="803"/>
      <c r="C1" s="803"/>
      <c r="D1" s="803"/>
      <c r="E1" s="803"/>
      <c r="F1" s="803"/>
      <c r="G1" s="803"/>
      <c r="H1" s="803"/>
      <c r="I1" s="803"/>
      <c r="J1" s="803"/>
      <c r="K1" s="803"/>
      <c r="L1" s="803"/>
      <c r="M1" s="803"/>
      <c r="N1" s="803"/>
      <c r="O1" s="803"/>
      <c r="P1" s="803"/>
      <c r="Q1" s="803"/>
      <c r="R1" s="803"/>
      <c r="S1" s="803"/>
      <c r="T1" s="803"/>
      <c r="U1" s="803"/>
      <c r="V1" s="803"/>
      <c r="W1" s="803"/>
      <c r="X1" s="803"/>
      <c r="Y1" s="803"/>
      <c r="Z1" s="803"/>
      <c r="AA1" s="803"/>
      <c r="AB1" s="803"/>
      <c r="AC1" s="803"/>
      <c r="AD1" s="803"/>
      <c r="AE1" s="803"/>
      <c r="AF1" s="804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84" customHeight="1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225" t="s">
        <v>207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208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ht="15.75" x14ac:dyDescent="0.25">
      <c r="A4" s="100">
        <v>100001</v>
      </c>
      <c r="B4" s="101" t="s">
        <v>15</v>
      </c>
      <c r="C4" s="102" t="s">
        <v>38</v>
      </c>
      <c r="D4" s="103">
        <v>4910</v>
      </c>
      <c r="E4" s="104">
        <f>IF(D4&lt;3500,0.5,0.4)</f>
        <v>0.4</v>
      </c>
      <c r="F4" s="105">
        <f>+pronostico!D3*50%</f>
        <v>78741.471364008015</v>
      </c>
      <c r="G4" s="106">
        <f t="shared" ref="G4:G51" si="0">F4*D4</f>
        <v>386620624.39727938</v>
      </c>
      <c r="H4" s="107">
        <f t="shared" ref="H4:H51" si="1">G4*E4</f>
        <v>154648249.75891176</v>
      </c>
      <c r="I4" s="106">
        <f t="shared" ref="I4:I18" si="2">+F4*50%</f>
        <v>39370.735682004008</v>
      </c>
      <c r="J4" s="108">
        <f t="shared" ref="J4:J51" si="3">+F4*30%</f>
        <v>23622.441409202405</v>
      </c>
      <c r="K4" s="195">
        <f t="shared" ref="K4:K51" si="4">+F4*10%</f>
        <v>7874.1471364008021</v>
      </c>
      <c r="L4" s="196">
        <f t="shared" ref="L4:L18" si="5">+F4*10%</f>
        <v>7874.1471364008021</v>
      </c>
      <c r="M4" s="197">
        <f>+pronostico!D3*20%</f>
        <v>31496.588545603208</v>
      </c>
      <c r="N4" s="198">
        <f t="shared" ref="N4:N51" si="6">M4*D4</f>
        <v>154648249.75891176</v>
      </c>
      <c r="O4" s="199">
        <f t="shared" ref="O4:O51" si="7">N4*E4</f>
        <v>61859299.903564706</v>
      </c>
      <c r="P4" s="198">
        <f>+M4*50%</f>
        <v>15748.294272801604</v>
      </c>
      <c r="Q4" s="200">
        <f>+M4*50%</f>
        <v>15748.294272801604</v>
      </c>
      <c r="R4" s="201">
        <f>+pronostico!D3*8%</f>
        <v>12598.635418241283</v>
      </c>
      <c r="S4" s="202">
        <f t="shared" ref="S4:S51" si="8">R4*D4</f>
        <v>61859299.903564699</v>
      </c>
      <c r="T4" s="203">
        <f t="shared" ref="T4:T51" si="9">S4*E4</f>
        <v>24743719.961425882</v>
      </c>
      <c r="U4" s="201">
        <f>+pronostico!D3*8%</f>
        <v>12598.635418241283</v>
      </c>
      <c r="V4" s="204">
        <f t="shared" ref="V4:V35" si="10">U4*D4</f>
        <v>61859299.903564699</v>
      </c>
      <c r="W4" s="205">
        <f t="shared" ref="W4:W35" si="11">V4*E4</f>
        <v>24743719.961425882</v>
      </c>
      <c r="X4" s="201">
        <f>+pronostico!D3*2%</f>
        <v>3149.6588545603208</v>
      </c>
      <c r="Y4" s="206">
        <f t="shared" ref="Y4:Y51" si="12">X4*D4</f>
        <v>15464824.975891175</v>
      </c>
      <c r="Z4" s="206">
        <f t="shared" ref="Z4:Z51" si="13">Y4*E4</f>
        <v>6185929.9903564705</v>
      </c>
      <c r="AA4" s="201">
        <f>+pronostico!D3*2%</f>
        <v>3149.6588545603208</v>
      </c>
      <c r="AB4" s="204">
        <f t="shared" ref="AB4:AB51" si="14">AA4*D4</f>
        <v>15464824.975891175</v>
      </c>
      <c r="AC4" s="205">
        <f t="shared" ref="AC4:AC51" si="15">AB4*E4</f>
        <v>6185929.9903564705</v>
      </c>
      <c r="AD4" s="201">
        <f>+pronostico!I3*10%</f>
        <v>15928.404865374338</v>
      </c>
      <c r="AE4" s="204">
        <f t="shared" ref="AE4:AE51" si="16">+AD4*D4</f>
        <v>78208467.888988003</v>
      </c>
      <c r="AF4" s="205">
        <f t="shared" ref="AF4:AF51" si="17">+AE4*E4</f>
        <v>31283387.155595202</v>
      </c>
    </row>
    <row r="5" spans="1:32" ht="15.75" x14ac:dyDescent="0.25">
      <c r="A5" s="109">
        <f>+A4+1</f>
        <v>100002</v>
      </c>
      <c r="B5" s="110" t="s">
        <v>16</v>
      </c>
      <c r="C5" s="111" t="s">
        <v>38</v>
      </c>
      <c r="D5" s="112">
        <v>4910</v>
      </c>
      <c r="E5" s="104">
        <f t="shared" ref="E5:E51" si="18">IF(D5&lt;3500,0.5,0.4)</f>
        <v>0.4</v>
      </c>
      <c r="F5" s="105">
        <f>+pronostico!D4*50%</f>
        <v>57230.235622029606</v>
      </c>
      <c r="G5" s="106">
        <f t="shared" si="0"/>
        <v>281000456.90416539</v>
      </c>
      <c r="H5" s="107">
        <f t="shared" si="1"/>
        <v>112400182.76166616</v>
      </c>
      <c r="I5" s="106">
        <f t="shared" si="2"/>
        <v>28615.117811014803</v>
      </c>
      <c r="J5" s="108">
        <f t="shared" si="3"/>
        <v>17169.07068660888</v>
      </c>
      <c r="K5" s="195">
        <f t="shared" si="4"/>
        <v>5723.0235622029613</v>
      </c>
      <c r="L5" s="196">
        <f t="shared" si="5"/>
        <v>5723.0235622029613</v>
      </c>
      <c r="M5" s="197">
        <f>+pronostico!D4*20%</f>
        <v>22892.094248811845</v>
      </c>
      <c r="N5" s="198">
        <f t="shared" si="6"/>
        <v>112400182.76166616</v>
      </c>
      <c r="O5" s="199">
        <f t="shared" si="7"/>
        <v>44960073.104666471</v>
      </c>
      <c r="P5" s="198">
        <f t="shared" ref="P5:P51" si="19">+M5*50%</f>
        <v>11446.047124405923</v>
      </c>
      <c r="Q5" s="200">
        <f t="shared" ref="Q5:Q51" si="20">+M5*50%</f>
        <v>11446.047124405923</v>
      </c>
      <c r="R5" s="201">
        <f>+pronostico!D4*8%</f>
        <v>9156.8376995247363</v>
      </c>
      <c r="S5" s="202">
        <f t="shared" si="8"/>
        <v>44960073.104666457</v>
      </c>
      <c r="T5" s="203">
        <f t="shared" si="9"/>
        <v>17984029.241866585</v>
      </c>
      <c r="U5" s="201">
        <f>+pronostico!D4*8%</f>
        <v>9156.8376995247363</v>
      </c>
      <c r="V5" s="204">
        <f t="shared" si="10"/>
        <v>44960073.104666457</v>
      </c>
      <c r="W5" s="205">
        <f t="shared" si="11"/>
        <v>17984029.241866585</v>
      </c>
      <c r="X5" s="201">
        <f>+pronostico!D4*2%</f>
        <v>2289.2094248811841</v>
      </c>
      <c r="Y5" s="206">
        <f t="shared" si="12"/>
        <v>11240018.276166614</v>
      </c>
      <c r="Z5" s="206">
        <f t="shared" si="13"/>
        <v>4496007.3104666462</v>
      </c>
      <c r="AA5" s="207">
        <f>+pronostico!D4*2%</f>
        <v>2289.2094248811841</v>
      </c>
      <c r="AB5" s="208">
        <f t="shared" si="14"/>
        <v>11240018.276166614</v>
      </c>
      <c r="AC5" s="209">
        <f t="shared" si="15"/>
        <v>4496007.3104666462</v>
      </c>
      <c r="AD5" s="201">
        <f>+pronostico!I4*10%</f>
        <v>11119.815231479421</v>
      </c>
      <c r="AE5" s="204">
        <f t="shared" si="16"/>
        <v>54598292.786563955</v>
      </c>
      <c r="AF5" s="205">
        <f t="shared" si="17"/>
        <v>21839317.114625584</v>
      </c>
    </row>
    <row r="6" spans="1:32" ht="15.75" x14ac:dyDescent="0.25">
      <c r="A6" s="109">
        <f t="shared" ref="A6:A51" si="21">+A5+1</f>
        <v>100003</v>
      </c>
      <c r="B6" s="110" t="s">
        <v>17</v>
      </c>
      <c r="C6" s="111" t="s">
        <v>38</v>
      </c>
      <c r="D6" s="112">
        <v>6000</v>
      </c>
      <c r="E6" s="104">
        <f t="shared" si="18"/>
        <v>0.4</v>
      </c>
      <c r="F6" s="105">
        <f>+pronostico!D5*50%</f>
        <v>14077.159384480003</v>
      </c>
      <c r="G6" s="106">
        <f t="shared" si="0"/>
        <v>84462956.306880012</v>
      </c>
      <c r="H6" s="107">
        <f t="shared" si="1"/>
        <v>33785182.522752009</v>
      </c>
      <c r="I6" s="106">
        <f t="shared" si="2"/>
        <v>7038.5796922400014</v>
      </c>
      <c r="J6" s="108">
        <f t="shared" si="3"/>
        <v>4223.1478153440003</v>
      </c>
      <c r="K6" s="195">
        <f t="shared" si="4"/>
        <v>1407.7159384480003</v>
      </c>
      <c r="L6" s="196">
        <f t="shared" si="5"/>
        <v>1407.7159384480003</v>
      </c>
      <c r="M6" s="197">
        <f>+pronostico!D5*20%</f>
        <v>5630.8637537920013</v>
      </c>
      <c r="N6" s="198">
        <f t="shared" si="6"/>
        <v>33785182.522752009</v>
      </c>
      <c r="O6" s="199">
        <f t="shared" si="7"/>
        <v>13514073.009100804</v>
      </c>
      <c r="P6" s="198">
        <f t="shared" si="19"/>
        <v>2815.4318768960006</v>
      </c>
      <c r="Q6" s="200">
        <f t="shared" si="20"/>
        <v>2815.4318768960006</v>
      </c>
      <c r="R6" s="201">
        <f>+pronostico!D5*8%</f>
        <v>2252.3455015168006</v>
      </c>
      <c r="S6" s="202">
        <f t="shared" si="8"/>
        <v>13514073.009100804</v>
      </c>
      <c r="T6" s="203">
        <f t="shared" si="9"/>
        <v>5405629.2036403222</v>
      </c>
      <c r="U6" s="201">
        <f>+pronostico!D5*8%</f>
        <v>2252.3455015168006</v>
      </c>
      <c r="V6" s="204">
        <f t="shared" si="10"/>
        <v>13514073.009100804</v>
      </c>
      <c r="W6" s="205">
        <f t="shared" si="11"/>
        <v>5405629.2036403222</v>
      </c>
      <c r="X6" s="201">
        <f>+pronostico!D5*2%</f>
        <v>563.08637537920015</v>
      </c>
      <c r="Y6" s="206">
        <f t="shared" si="12"/>
        <v>3378518.252275201</v>
      </c>
      <c r="Z6" s="206">
        <f t="shared" si="13"/>
        <v>1351407.3009100806</v>
      </c>
      <c r="AA6" s="207">
        <f>+pronostico!D5*2%</f>
        <v>563.08637537920015</v>
      </c>
      <c r="AB6" s="208">
        <f t="shared" si="14"/>
        <v>3378518.252275201</v>
      </c>
      <c r="AC6" s="209">
        <f t="shared" si="15"/>
        <v>1351407.3009100806</v>
      </c>
      <c r="AD6" s="201">
        <f>+pronostico!I5*10%</f>
        <v>3285.8127287984958</v>
      </c>
      <c r="AE6" s="204">
        <f t="shared" si="16"/>
        <v>19714876.372790974</v>
      </c>
      <c r="AF6" s="205">
        <f t="shared" si="17"/>
        <v>7885950.5491163898</v>
      </c>
    </row>
    <row r="7" spans="1:32" ht="15.75" x14ac:dyDescent="0.25">
      <c r="A7" s="109">
        <f t="shared" si="21"/>
        <v>100004</v>
      </c>
      <c r="B7" s="110" t="s">
        <v>18</v>
      </c>
      <c r="C7" s="111" t="s">
        <v>38</v>
      </c>
      <c r="D7" s="112">
        <v>5130</v>
      </c>
      <c r="E7" s="104">
        <f t="shared" si="18"/>
        <v>0.4</v>
      </c>
      <c r="F7" s="105">
        <f>+pronostico!D6*50%</f>
        <v>27847.221200800563</v>
      </c>
      <c r="G7" s="106">
        <f t="shared" si="0"/>
        <v>142856244.76010689</v>
      </c>
      <c r="H7" s="107">
        <f t="shared" si="1"/>
        <v>57142497.904042758</v>
      </c>
      <c r="I7" s="106">
        <f t="shared" si="2"/>
        <v>13923.610600400281</v>
      </c>
      <c r="J7" s="108">
        <f t="shared" si="3"/>
        <v>8354.1663602401677</v>
      </c>
      <c r="K7" s="195">
        <f t="shared" si="4"/>
        <v>2784.7221200800564</v>
      </c>
      <c r="L7" s="196">
        <f t="shared" si="5"/>
        <v>2784.7221200800564</v>
      </c>
      <c r="M7" s="197">
        <f>+pronostico!D6*20%</f>
        <v>11138.888480320225</v>
      </c>
      <c r="N7" s="198">
        <f t="shared" si="6"/>
        <v>57142497.904042758</v>
      </c>
      <c r="O7" s="199">
        <f t="shared" si="7"/>
        <v>22856999.161617104</v>
      </c>
      <c r="P7" s="198">
        <f t="shared" si="19"/>
        <v>5569.4442401601127</v>
      </c>
      <c r="Q7" s="200">
        <f t="shared" si="20"/>
        <v>5569.4442401601127</v>
      </c>
      <c r="R7" s="201">
        <f>+pronostico!D6*8%</f>
        <v>4455.5553921280898</v>
      </c>
      <c r="S7" s="202">
        <f t="shared" si="8"/>
        <v>22856999.1616171</v>
      </c>
      <c r="T7" s="203">
        <f t="shared" si="9"/>
        <v>9142799.6646468397</v>
      </c>
      <c r="U7" s="201">
        <f>+pronostico!D6*8%</f>
        <v>4455.5553921280898</v>
      </c>
      <c r="V7" s="204">
        <f t="shared" si="10"/>
        <v>22856999.1616171</v>
      </c>
      <c r="W7" s="205">
        <f t="shared" si="11"/>
        <v>9142799.6646468397</v>
      </c>
      <c r="X7" s="201">
        <f>+pronostico!D6*2%</f>
        <v>1113.8888480320225</v>
      </c>
      <c r="Y7" s="206">
        <f t="shared" si="12"/>
        <v>5714249.7904042751</v>
      </c>
      <c r="Z7" s="206">
        <f t="shared" si="13"/>
        <v>2285699.9161617099</v>
      </c>
      <c r="AA7" s="207">
        <f>+pronostico!D6*2%</f>
        <v>1113.8888480320225</v>
      </c>
      <c r="AB7" s="208">
        <f t="shared" si="14"/>
        <v>5714249.7904042751</v>
      </c>
      <c r="AC7" s="209">
        <f t="shared" si="15"/>
        <v>2285699.9161617099</v>
      </c>
      <c r="AD7" s="201">
        <f>+pronostico!I6*10%</f>
        <v>6171.3869180391857</v>
      </c>
      <c r="AE7" s="204">
        <f t="shared" si="16"/>
        <v>31659214.889541022</v>
      </c>
      <c r="AF7" s="205">
        <f t="shared" si="17"/>
        <v>12663685.95581641</v>
      </c>
    </row>
    <row r="8" spans="1:32" ht="15.75" x14ac:dyDescent="0.25">
      <c r="A8" s="109">
        <f t="shared" si="21"/>
        <v>100005</v>
      </c>
      <c r="B8" s="110" t="s">
        <v>19</v>
      </c>
      <c r="C8" s="111" t="s">
        <v>38</v>
      </c>
      <c r="D8" s="112">
        <v>8550</v>
      </c>
      <c r="E8" s="104">
        <f t="shared" si="18"/>
        <v>0.4</v>
      </c>
      <c r="F8" s="105">
        <f>+pronostico!D7*50%</f>
        <v>25866.299427690003</v>
      </c>
      <c r="G8" s="106">
        <f t="shared" si="0"/>
        <v>221156860.10674953</v>
      </c>
      <c r="H8" s="107">
        <f t="shared" si="1"/>
        <v>88462744.042699814</v>
      </c>
      <c r="I8" s="106">
        <f t="shared" si="2"/>
        <v>12933.149713845001</v>
      </c>
      <c r="J8" s="108">
        <f t="shared" si="3"/>
        <v>7759.8898283070002</v>
      </c>
      <c r="K8" s="195">
        <f t="shared" si="4"/>
        <v>2586.6299427690005</v>
      </c>
      <c r="L8" s="196">
        <f t="shared" si="5"/>
        <v>2586.6299427690005</v>
      </c>
      <c r="M8" s="197">
        <f>+pronostico!D7*20%</f>
        <v>10346.519771076002</v>
      </c>
      <c r="N8" s="198">
        <f t="shared" si="6"/>
        <v>88462744.042699814</v>
      </c>
      <c r="O8" s="199">
        <f t="shared" si="7"/>
        <v>35385097.617079929</v>
      </c>
      <c r="P8" s="198">
        <f t="shared" si="19"/>
        <v>5173.2598855380011</v>
      </c>
      <c r="Q8" s="200">
        <f t="shared" si="20"/>
        <v>5173.2598855380011</v>
      </c>
      <c r="R8" s="201">
        <f>+pronostico!D7*8%</f>
        <v>4138.6079084304001</v>
      </c>
      <c r="S8" s="202">
        <f t="shared" si="8"/>
        <v>35385097.617079921</v>
      </c>
      <c r="T8" s="203">
        <f t="shared" si="9"/>
        <v>14154039.046831969</v>
      </c>
      <c r="U8" s="201">
        <f>+pronostico!D7*8%</f>
        <v>4138.6079084304001</v>
      </c>
      <c r="V8" s="204">
        <f t="shared" si="10"/>
        <v>35385097.617079921</v>
      </c>
      <c r="W8" s="205">
        <f t="shared" si="11"/>
        <v>14154039.046831969</v>
      </c>
      <c r="X8" s="201">
        <f>+pronostico!D7*2%</f>
        <v>1034.6519771076</v>
      </c>
      <c r="Y8" s="206">
        <f t="shared" si="12"/>
        <v>8846274.4042699803</v>
      </c>
      <c r="Z8" s="206">
        <f t="shared" si="13"/>
        <v>3538509.7617079923</v>
      </c>
      <c r="AA8" s="207">
        <f>+pronostico!D7*2%</f>
        <v>1034.6519771076</v>
      </c>
      <c r="AB8" s="208">
        <f t="shared" si="14"/>
        <v>8846274.4042699803</v>
      </c>
      <c r="AC8" s="209">
        <f t="shared" si="15"/>
        <v>3538509.7617079923</v>
      </c>
      <c r="AD8" s="201">
        <f>+pronostico!I7*10%</f>
        <v>4573.1559469572421</v>
      </c>
      <c r="AE8" s="204">
        <f t="shared" si="16"/>
        <v>39100483.346484423</v>
      </c>
      <c r="AF8" s="205">
        <f t="shared" si="17"/>
        <v>15640193.33859377</v>
      </c>
    </row>
    <row r="9" spans="1:32" ht="15.75" x14ac:dyDescent="0.25">
      <c r="A9" s="109">
        <f t="shared" si="21"/>
        <v>100006</v>
      </c>
      <c r="B9" s="110" t="s">
        <v>42</v>
      </c>
      <c r="C9" s="111" t="s">
        <v>38</v>
      </c>
      <c r="D9" s="112">
        <v>10100</v>
      </c>
      <c r="E9" s="104">
        <f t="shared" si="18"/>
        <v>0.4</v>
      </c>
      <c r="F9" s="105">
        <f>+pronostico!D8*50%</f>
        <v>26585.671970573723</v>
      </c>
      <c r="G9" s="106">
        <f t="shared" si="0"/>
        <v>268515286.9027946</v>
      </c>
      <c r="H9" s="107">
        <f t="shared" si="1"/>
        <v>107406114.76111785</v>
      </c>
      <c r="I9" s="106">
        <f t="shared" si="2"/>
        <v>13292.835985286862</v>
      </c>
      <c r="J9" s="108">
        <f t="shared" si="3"/>
        <v>7975.7015911721164</v>
      </c>
      <c r="K9" s="195">
        <f t="shared" si="4"/>
        <v>2658.5671970573726</v>
      </c>
      <c r="L9" s="196">
        <f t="shared" si="5"/>
        <v>2658.5671970573726</v>
      </c>
      <c r="M9" s="197">
        <f>+pronostico!D8*20%</f>
        <v>10634.26878822949</v>
      </c>
      <c r="N9" s="198">
        <f t="shared" si="6"/>
        <v>107406114.76111785</v>
      </c>
      <c r="O9" s="199">
        <f t="shared" si="7"/>
        <v>42962445.904447138</v>
      </c>
      <c r="P9" s="198">
        <f t="shared" si="19"/>
        <v>5317.1343941147452</v>
      </c>
      <c r="Q9" s="200">
        <f t="shared" si="20"/>
        <v>5317.1343941147452</v>
      </c>
      <c r="R9" s="201">
        <f>+pronostico!D8*8%</f>
        <v>4253.707515291796</v>
      </c>
      <c r="S9" s="202">
        <f t="shared" si="8"/>
        <v>42962445.904447138</v>
      </c>
      <c r="T9" s="203">
        <f t="shared" si="9"/>
        <v>17184978.361778855</v>
      </c>
      <c r="U9" s="201">
        <f>+pronostico!D8*8%</f>
        <v>4253.707515291796</v>
      </c>
      <c r="V9" s="204">
        <f t="shared" si="10"/>
        <v>42962445.904447138</v>
      </c>
      <c r="W9" s="205">
        <f t="shared" si="11"/>
        <v>17184978.361778855</v>
      </c>
      <c r="X9" s="201">
        <f>+pronostico!D8*2%</f>
        <v>1063.426878822949</v>
      </c>
      <c r="Y9" s="206">
        <f t="shared" si="12"/>
        <v>10740611.476111785</v>
      </c>
      <c r="Z9" s="206">
        <f t="shared" si="13"/>
        <v>4296244.5904447138</v>
      </c>
      <c r="AA9" s="207">
        <f>+pronostico!D8*2%</f>
        <v>1063.426878822949</v>
      </c>
      <c r="AB9" s="208">
        <f t="shared" si="14"/>
        <v>10740611.476111785</v>
      </c>
      <c r="AC9" s="209">
        <f t="shared" si="15"/>
        <v>4296244.5904447138</v>
      </c>
      <c r="AD9" s="201">
        <f>+pronostico!I8*10%</f>
        <v>5165.5869822018576</v>
      </c>
      <c r="AE9" s="204">
        <f t="shared" si="16"/>
        <v>52172428.520238765</v>
      </c>
      <c r="AF9" s="205">
        <f t="shared" si="17"/>
        <v>20868971.408095509</v>
      </c>
    </row>
    <row r="10" spans="1:32" ht="15.75" x14ac:dyDescent="0.25">
      <c r="A10" s="109">
        <f>+A9+1</f>
        <v>100007</v>
      </c>
      <c r="B10" s="113" t="s">
        <v>43</v>
      </c>
      <c r="C10" s="114" t="s">
        <v>46</v>
      </c>
      <c r="D10" s="115">
        <v>2340</v>
      </c>
      <c r="E10" s="104">
        <f t="shared" si="18"/>
        <v>0.5</v>
      </c>
      <c r="F10" s="105">
        <f>+pronostico!D9*50%</f>
        <v>29408.110821116552</v>
      </c>
      <c r="G10" s="106">
        <f t="shared" si="0"/>
        <v>68814979.321412727</v>
      </c>
      <c r="H10" s="107">
        <f t="shared" si="1"/>
        <v>34407489.660706364</v>
      </c>
      <c r="I10" s="106">
        <f t="shared" si="2"/>
        <v>14704.055410558276</v>
      </c>
      <c r="J10" s="108">
        <f t="shared" si="3"/>
        <v>8822.4332463349656</v>
      </c>
      <c r="K10" s="195">
        <f t="shared" si="4"/>
        <v>2940.8110821116552</v>
      </c>
      <c r="L10" s="196">
        <f t="shared" si="5"/>
        <v>2940.8110821116552</v>
      </c>
      <c r="M10" s="197">
        <f>+pronostico!D9*20%</f>
        <v>11763.244328446621</v>
      </c>
      <c r="N10" s="198">
        <f t="shared" si="6"/>
        <v>27525991.728565093</v>
      </c>
      <c r="O10" s="199">
        <f t="shared" si="7"/>
        <v>13762995.864282547</v>
      </c>
      <c r="P10" s="198">
        <f t="shared" si="19"/>
        <v>5881.6221642233104</v>
      </c>
      <c r="Q10" s="200">
        <f t="shared" si="20"/>
        <v>5881.6221642233104</v>
      </c>
      <c r="R10" s="201">
        <f>+pronostico!D9*8%</f>
        <v>4705.2977313786487</v>
      </c>
      <c r="S10" s="202">
        <f t="shared" si="8"/>
        <v>11010396.691426039</v>
      </c>
      <c r="T10" s="203">
        <f t="shared" si="9"/>
        <v>5505198.3457130194</v>
      </c>
      <c r="U10" s="201">
        <f>+pronostico!D9*8%</f>
        <v>4705.2977313786487</v>
      </c>
      <c r="V10" s="204">
        <f t="shared" si="10"/>
        <v>11010396.691426039</v>
      </c>
      <c r="W10" s="205">
        <f t="shared" si="11"/>
        <v>5505198.3457130194</v>
      </c>
      <c r="X10" s="201">
        <f>+pronostico!D9*2%</f>
        <v>1176.3244328446622</v>
      </c>
      <c r="Y10" s="206">
        <f t="shared" si="12"/>
        <v>2752599.1728565097</v>
      </c>
      <c r="Z10" s="206">
        <f t="shared" si="13"/>
        <v>1376299.5864282548</v>
      </c>
      <c r="AA10" s="207">
        <f>+pronostico!D9*2%</f>
        <v>1176.3244328446622</v>
      </c>
      <c r="AB10" s="208">
        <f t="shared" si="14"/>
        <v>2752599.1728565097</v>
      </c>
      <c r="AC10" s="209">
        <f t="shared" si="15"/>
        <v>1376299.5864282548</v>
      </c>
      <c r="AD10" s="201">
        <f>+pronostico!I9*10%</f>
        <v>6248.8034782722616</v>
      </c>
      <c r="AE10" s="204">
        <f t="shared" si="16"/>
        <v>14622200.139157092</v>
      </c>
      <c r="AF10" s="205">
        <f t="shared" si="17"/>
        <v>7311100.0695785461</v>
      </c>
    </row>
    <row r="11" spans="1:32" ht="15.75" x14ac:dyDescent="0.25">
      <c r="A11" s="109">
        <f t="shared" si="21"/>
        <v>100008</v>
      </c>
      <c r="B11" s="113" t="s">
        <v>47</v>
      </c>
      <c r="C11" s="114" t="s">
        <v>46</v>
      </c>
      <c r="D11" s="115">
        <v>2340</v>
      </c>
      <c r="E11" s="104">
        <f t="shared" si="18"/>
        <v>0.5</v>
      </c>
      <c r="F11" s="105">
        <f>+pronostico!D10*50%</f>
        <v>12428.080840278164</v>
      </c>
      <c r="G11" s="106">
        <f t="shared" si="0"/>
        <v>29081709.166250903</v>
      </c>
      <c r="H11" s="107">
        <f t="shared" si="1"/>
        <v>14540854.583125452</v>
      </c>
      <c r="I11" s="106">
        <f t="shared" si="2"/>
        <v>6214.040420139082</v>
      </c>
      <c r="J11" s="108">
        <f t="shared" si="3"/>
        <v>3728.4242520834491</v>
      </c>
      <c r="K11" s="195">
        <f t="shared" si="4"/>
        <v>1242.8080840278164</v>
      </c>
      <c r="L11" s="196">
        <f t="shared" si="5"/>
        <v>1242.8080840278164</v>
      </c>
      <c r="M11" s="197">
        <f>+pronostico!D10*20%</f>
        <v>4971.2323361112658</v>
      </c>
      <c r="N11" s="198">
        <f t="shared" si="6"/>
        <v>11632683.666500362</v>
      </c>
      <c r="O11" s="199">
        <f t="shared" si="7"/>
        <v>5816341.8332501808</v>
      </c>
      <c r="P11" s="198">
        <f t="shared" si="19"/>
        <v>2485.6161680556329</v>
      </c>
      <c r="Q11" s="200">
        <f t="shared" si="20"/>
        <v>2485.6161680556329</v>
      </c>
      <c r="R11" s="201">
        <f>+pronostico!D10*8%</f>
        <v>1988.4929344445063</v>
      </c>
      <c r="S11" s="202">
        <f t="shared" si="8"/>
        <v>4653073.4666001452</v>
      </c>
      <c r="T11" s="203">
        <f t="shared" si="9"/>
        <v>2326536.7333000726</v>
      </c>
      <c r="U11" s="201">
        <f>+pronostico!D10*8%</f>
        <v>1988.4929344445063</v>
      </c>
      <c r="V11" s="204">
        <f t="shared" si="10"/>
        <v>4653073.4666001452</v>
      </c>
      <c r="W11" s="205">
        <f t="shared" si="11"/>
        <v>2326536.7333000726</v>
      </c>
      <c r="X11" s="201">
        <f>+pronostico!D10*2%</f>
        <v>497.12323361112658</v>
      </c>
      <c r="Y11" s="206">
        <f t="shared" si="12"/>
        <v>1163268.3666500363</v>
      </c>
      <c r="Z11" s="206">
        <f t="shared" si="13"/>
        <v>581634.18332501815</v>
      </c>
      <c r="AA11" s="207">
        <f>+pronostico!D10*2%</f>
        <v>497.12323361112658</v>
      </c>
      <c r="AB11" s="208">
        <f t="shared" si="14"/>
        <v>1163268.3666500363</v>
      </c>
      <c r="AC11" s="209">
        <f t="shared" si="15"/>
        <v>581634.18332501815</v>
      </c>
      <c r="AD11" s="201">
        <f>+pronostico!I10*10%</f>
        <v>2640.7896531764914</v>
      </c>
      <c r="AE11" s="204">
        <f t="shared" si="16"/>
        <v>6179447.7884329902</v>
      </c>
      <c r="AF11" s="205">
        <f t="shared" si="17"/>
        <v>3089723.8942164951</v>
      </c>
    </row>
    <row r="12" spans="1:32" ht="15.75" x14ac:dyDescent="0.25">
      <c r="A12" s="109">
        <f t="shared" si="21"/>
        <v>100009</v>
      </c>
      <c r="B12" s="113" t="s">
        <v>50</v>
      </c>
      <c r="C12" s="114" t="s">
        <v>46</v>
      </c>
      <c r="D12" s="115">
        <v>2240</v>
      </c>
      <c r="E12" s="104">
        <f t="shared" si="18"/>
        <v>0.5</v>
      </c>
      <c r="F12" s="105">
        <f>+pronostico!D11*50%</f>
        <v>49275.491674492681</v>
      </c>
      <c r="G12" s="106">
        <f t="shared" si="0"/>
        <v>110377101.35086361</v>
      </c>
      <c r="H12" s="107">
        <f t="shared" si="1"/>
        <v>55188550.675431803</v>
      </c>
      <c r="I12" s="106">
        <f t="shared" si="2"/>
        <v>24637.745837246341</v>
      </c>
      <c r="J12" s="108">
        <f t="shared" si="3"/>
        <v>14782.647502347803</v>
      </c>
      <c r="K12" s="195">
        <f t="shared" si="4"/>
        <v>4927.5491674492687</v>
      </c>
      <c r="L12" s="196">
        <f t="shared" si="5"/>
        <v>4927.5491674492687</v>
      </c>
      <c r="M12" s="197">
        <f>+pronostico!D11*20%</f>
        <v>19710.196669797075</v>
      </c>
      <c r="N12" s="198">
        <f t="shared" si="6"/>
        <v>44150840.540345445</v>
      </c>
      <c r="O12" s="199">
        <f t="shared" si="7"/>
        <v>22075420.270172723</v>
      </c>
      <c r="P12" s="198">
        <f t="shared" si="19"/>
        <v>9855.0983348985374</v>
      </c>
      <c r="Q12" s="200">
        <f t="shared" si="20"/>
        <v>9855.0983348985374</v>
      </c>
      <c r="R12" s="201">
        <f>+pronostico!D11*8%</f>
        <v>7884.0786679188295</v>
      </c>
      <c r="S12" s="202">
        <f t="shared" si="8"/>
        <v>17660336.216138177</v>
      </c>
      <c r="T12" s="203">
        <f t="shared" si="9"/>
        <v>8830168.1080690883</v>
      </c>
      <c r="U12" s="201">
        <f>+pronostico!D11*8%</f>
        <v>7884.0786679188295</v>
      </c>
      <c r="V12" s="204">
        <f t="shared" si="10"/>
        <v>17660336.216138177</v>
      </c>
      <c r="W12" s="205">
        <f t="shared" si="11"/>
        <v>8830168.1080690883</v>
      </c>
      <c r="X12" s="201">
        <f>+pronostico!D11*2%</f>
        <v>1971.0196669797074</v>
      </c>
      <c r="Y12" s="206">
        <f t="shared" si="12"/>
        <v>4415084.0540345442</v>
      </c>
      <c r="Z12" s="206">
        <f t="shared" si="13"/>
        <v>2207542.0270172721</v>
      </c>
      <c r="AA12" s="207">
        <f>+pronostico!D11*2%</f>
        <v>1971.0196669797074</v>
      </c>
      <c r="AB12" s="208">
        <f t="shared" si="14"/>
        <v>4415084.0540345442</v>
      </c>
      <c r="AC12" s="209">
        <f t="shared" si="15"/>
        <v>2207542.0270172721</v>
      </c>
      <c r="AD12" s="201">
        <f>+pronostico!I11*10%</f>
        <v>10470.338119097083</v>
      </c>
      <c r="AE12" s="204">
        <f t="shared" si="16"/>
        <v>23453557.386777468</v>
      </c>
      <c r="AF12" s="205">
        <f t="shared" si="17"/>
        <v>11726778.693388734</v>
      </c>
    </row>
    <row r="13" spans="1:32" ht="15.75" x14ac:dyDescent="0.25">
      <c r="A13" s="109">
        <f t="shared" si="21"/>
        <v>100010</v>
      </c>
      <c r="B13" s="113" t="s">
        <v>52</v>
      </c>
      <c r="C13" s="114" t="s">
        <v>46</v>
      </c>
      <c r="D13" s="115">
        <v>2300</v>
      </c>
      <c r="E13" s="104">
        <f t="shared" si="18"/>
        <v>0.5</v>
      </c>
      <c r="F13" s="105">
        <f>+pronostico!D12*50%</f>
        <v>40298.819870392603</v>
      </c>
      <c r="G13" s="106">
        <f t="shared" si="0"/>
        <v>92687285.701902986</v>
      </c>
      <c r="H13" s="107">
        <f t="shared" si="1"/>
        <v>46343642.850951493</v>
      </c>
      <c r="I13" s="106">
        <f t="shared" si="2"/>
        <v>20149.409935196301</v>
      </c>
      <c r="J13" s="108">
        <f t="shared" si="3"/>
        <v>12089.64596111778</v>
      </c>
      <c r="K13" s="195">
        <f t="shared" si="4"/>
        <v>4029.8819870392604</v>
      </c>
      <c r="L13" s="196">
        <f t="shared" si="5"/>
        <v>4029.8819870392604</v>
      </c>
      <c r="M13" s="197">
        <f>+pronostico!D12*20%</f>
        <v>16119.527948157041</v>
      </c>
      <c r="N13" s="198">
        <f t="shared" si="6"/>
        <v>37074914.280761197</v>
      </c>
      <c r="O13" s="199">
        <f t="shared" si="7"/>
        <v>18537457.140380599</v>
      </c>
      <c r="P13" s="198">
        <f t="shared" si="19"/>
        <v>8059.7639740785207</v>
      </c>
      <c r="Q13" s="200">
        <f t="shared" si="20"/>
        <v>8059.7639740785207</v>
      </c>
      <c r="R13" s="201">
        <f>+pronostico!D12*8%</f>
        <v>6447.8111792628169</v>
      </c>
      <c r="S13" s="202">
        <f t="shared" si="8"/>
        <v>14829965.712304479</v>
      </c>
      <c r="T13" s="203">
        <f t="shared" si="9"/>
        <v>7414982.8561522393</v>
      </c>
      <c r="U13" s="201">
        <f>+pronostico!D12*8%</f>
        <v>6447.8111792628169</v>
      </c>
      <c r="V13" s="204">
        <f t="shared" si="10"/>
        <v>14829965.712304479</v>
      </c>
      <c r="W13" s="205">
        <f t="shared" si="11"/>
        <v>7414982.8561522393</v>
      </c>
      <c r="X13" s="201">
        <f>+pronostico!D12*2%</f>
        <v>1611.9527948157042</v>
      </c>
      <c r="Y13" s="206">
        <f t="shared" si="12"/>
        <v>3707491.4280761196</v>
      </c>
      <c r="Z13" s="206">
        <f t="shared" si="13"/>
        <v>1853745.7140380598</v>
      </c>
      <c r="AA13" s="207">
        <f>+pronostico!D12*2%</f>
        <v>1611.9527948157042</v>
      </c>
      <c r="AB13" s="208">
        <f t="shared" si="14"/>
        <v>3707491.4280761196</v>
      </c>
      <c r="AC13" s="209">
        <f t="shared" si="15"/>
        <v>1853745.7140380598</v>
      </c>
      <c r="AD13" s="201">
        <f>+pronostico!I12*10%</f>
        <v>8562.923585438637</v>
      </c>
      <c r="AE13" s="204">
        <f t="shared" si="16"/>
        <v>19694724.246508867</v>
      </c>
      <c r="AF13" s="205">
        <f t="shared" si="17"/>
        <v>9847362.1232544333</v>
      </c>
    </row>
    <row r="14" spans="1:32" ht="15.75" x14ac:dyDescent="0.25">
      <c r="A14" s="109">
        <f t="shared" si="21"/>
        <v>100011</v>
      </c>
      <c r="B14" s="113" t="s">
        <v>53</v>
      </c>
      <c r="C14" s="114" t="s">
        <v>46</v>
      </c>
      <c r="D14" s="115">
        <v>1260</v>
      </c>
      <c r="E14" s="104">
        <f t="shared" si="18"/>
        <v>0.5</v>
      </c>
      <c r="F14" s="105">
        <f>+pronostico!D13*50%</f>
        <v>26009.347194732425</v>
      </c>
      <c r="G14" s="106">
        <f t="shared" si="0"/>
        <v>32771777.465362854</v>
      </c>
      <c r="H14" s="107">
        <f t="shared" si="1"/>
        <v>16385888.732681427</v>
      </c>
      <c r="I14" s="106">
        <f t="shared" si="2"/>
        <v>13004.673597366213</v>
      </c>
      <c r="J14" s="108">
        <f t="shared" si="3"/>
        <v>7802.8041584197272</v>
      </c>
      <c r="K14" s="195">
        <f t="shared" si="4"/>
        <v>2600.9347194732427</v>
      </c>
      <c r="L14" s="196">
        <f t="shared" si="5"/>
        <v>2600.9347194732427</v>
      </c>
      <c r="M14" s="197">
        <f>+pronostico!D13*20%</f>
        <v>10403.738877892971</v>
      </c>
      <c r="N14" s="198">
        <f t="shared" si="6"/>
        <v>13108710.986145142</v>
      </c>
      <c r="O14" s="199">
        <f t="shared" si="7"/>
        <v>6554355.4930725712</v>
      </c>
      <c r="P14" s="198">
        <f t="shared" si="19"/>
        <v>5201.8694389464854</v>
      </c>
      <c r="Q14" s="200">
        <f t="shared" si="20"/>
        <v>5201.8694389464854</v>
      </c>
      <c r="R14" s="201">
        <f>+pronostico!D13*8%</f>
        <v>4161.4955511571879</v>
      </c>
      <c r="S14" s="202">
        <f t="shared" si="8"/>
        <v>5243484.3944580564</v>
      </c>
      <c r="T14" s="203">
        <f t="shared" si="9"/>
        <v>2621742.1972290282</v>
      </c>
      <c r="U14" s="201">
        <f>+pronostico!D13*8%</f>
        <v>4161.4955511571879</v>
      </c>
      <c r="V14" s="204">
        <f t="shared" si="10"/>
        <v>5243484.3944580564</v>
      </c>
      <c r="W14" s="205">
        <f t="shared" si="11"/>
        <v>2621742.1972290282</v>
      </c>
      <c r="X14" s="201">
        <f>+pronostico!D13*2%</f>
        <v>1040.373887789297</v>
      </c>
      <c r="Y14" s="206">
        <f t="shared" si="12"/>
        <v>1310871.0986145141</v>
      </c>
      <c r="Z14" s="206">
        <f t="shared" si="13"/>
        <v>655435.54930725705</v>
      </c>
      <c r="AA14" s="207">
        <f>+pronostico!D13*2%</f>
        <v>1040.373887789297</v>
      </c>
      <c r="AB14" s="208">
        <f t="shared" si="14"/>
        <v>1310871.0986145141</v>
      </c>
      <c r="AC14" s="209">
        <f t="shared" si="15"/>
        <v>655435.54930725705</v>
      </c>
      <c r="AD14" s="201">
        <f>+pronostico!I13*10%</f>
        <v>5526.6147557652248</v>
      </c>
      <c r="AE14" s="204">
        <f t="shared" si="16"/>
        <v>6963534.5922641829</v>
      </c>
      <c r="AF14" s="205">
        <f t="shared" si="17"/>
        <v>3481767.2961320914</v>
      </c>
    </row>
    <row r="15" spans="1:32" ht="15.75" x14ac:dyDescent="0.25">
      <c r="A15" s="109">
        <f t="shared" si="21"/>
        <v>100012</v>
      </c>
      <c r="B15" s="113" t="s">
        <v>55</v>
      </c>
      <c r="C15" s="114" t="s">
        <v>46</v>
      </c>
      <c r="D15" s="115">
        <v>1260</v>
      </c>
      <c r="E15" s="104">
        <f t="shared" si="18"/>
        <v>0.5</v>
      </c>
      <c r="F15" s="105">
        <f>+pronostico!D14*50%</f>
        <v>20406.369750855112</v>
      </c>
      <c r="G15" s="106">
        <f t="shared" si="0"/>
        <v>25712025.886077441</v>
      </c>
      <c r="H15" s="107">
        <f t="shared" si="1"/>
        <v>12856012.943038721</v>
      </c>
      <c r="I15" s="106">
        <f t="shared" si="2"/>
        <v>10203.184875427556</v>
      </c>
      <c r="J15" s="108">
        <f t="shared" si="3"/>
        <v>6121.9109252565331</v>
      </c>
      <c r="K15" s="195">
        <f t="shared" si="4"/>
        <v>2040.6369750855113</v>
      </c>
      <c r="L15" s="196">
        <f t="shared" si="5"/>
        <v>2040.6369750855113</v>
      </c>
      <c r="M15" s="197">
        <f>+pronostico!D14*20%</f>
        <v>8162.5479003420451</v>
      </c>
      <c r="N15" s="198">
        <f t="shared" si="6"/>
        <v>10284810.354430977</v>
      </c>
      <c r="O15" s="199">
        <f t="shared" si="7"/>
        <v>5142405.1772154886</v>
      </c>
      <c r="P15" s="198">
        <f t="shared" si="19"/>
        <v>4081.2739501710225</v>
      </c>
      <c r="Q15" s="200">
        <f t="shared" si="20"/>
        <v>4081.2739501710225</v>
      </c>
      <c r="R15" s="201">
        <f>+pronostico!D14*8%</f>
        <v>3265.0191601368178</v>
      </c>
      <c r="S15" s="202">
        <f t="shared" si="8"/>
        <v>4113924.1417723903</v>
      </c>
      <c r="T15" s="203">
        <f t="shared" si="9"/>
        <v>2056962.0708861952</v>
      </c>
      <c r="U15" s="201">
        <f>+pronostico!D14*8%</f>
        <v>3265.0191601368178</v>
      </c>
      <c r="V15" s="204">
        <f t="shared" si="10"/>
        <v>4113924.1417723903</v>
      </c>
      <c r="W15" s="205">
        <f t="shared" si="11"/>
        <v>2056962.0708861952</v>
      </c>
      <c r="X15" s="201">
        <f>+pronostico!D14*2%</f>
        <v>816.25479003420446</v>
      </c>
      <c r="Y15" s="206">
        <f t="shared" si="12"/>
        <v>1028481.0354430976</v>
      </c>
      <c r="Z15" s="206">
        <f t="shared" si="13"/>
        <v>514240.51772154879</v>
      </c>
      <c r="AA15" s="207">
        <f>+pronostico!D14*2%</f>
        <v>816.25479003420446</v>
      </c>
      <c r="AB15" s="208">
        <f t="shared" si="14"/>
        <v>1028481.0354430976</v>
      </c>
      <c r="AC15" s="209">
        <f t="shared" si="15"/>
        <v>514240.51772154879</v>
      </c>
      <c r="AD15" s="201">
        <f>+pronostico!I14*10%</f>
        <v>4336.0620830774833</v>
      </c>
      <c r="AE15" s="204">
        <f t="shared" si="16"/>
        <v>5463438.2246776288</v>
      </c>
      <c r="AF15" s="205">
        <f t="shared" si="17"/>
        <v>2731719.1123388144</v>
      </c>
    </row>
    <row r="16" spans="1:32" ht="15.75" x14ac:dyDescent="0.25">
      <c r="A16" s="109">
        <f t="shared" si="21"/>
        <v>100013</v>
      </c>
      <c r="B16" s="113" t="s">
        <v>57</v>
      </c>
      <c r="C16" s="114" t="s">
        <v>46</v>
      </c>
      <c r="D16" s="115">
        <v>2710</v>
      </c>
      <c r="E16" s="104">
        <f t="shared" si="18"/>
        <v>0.5</v>
      </c>
      <c r="F16" s="105">
        <f>+pronostico!D15*50%</f>
        <v>29832.407866729231</v>
      </c>
      <c r="G16" s="106">
        <f t="shared" si="0"/>
        <v>80845825.318836212</v>
      </c>
      <c r="H16" s="107">
        <f t="shared" si="1"/>
        <v>40422912.659418106</v>
      </c>
      <c r="I16" s="106">
        <f t="shared" si="2"/>
        <v>14916.203933364615</v>
      </c>
      <c r="J16" s="108">
        <f t="shared" si="3"/>
        <v>8949.7223600187681</v>
      </c>
      <c r="K16" s="195">
        <f t="shared" si="4"/>
        <v>2983.2407866729232</v>
      </c>
      <c r="L16" s="196">
        <f t="shared" si="5"/>
        <v>2983.2407866729232</v>
      </c>
      <c r="M16" s="197">
        <f>+pronostico!D15*20%</f>
        <v>11932.963146691693</v>
      </c>
      <c r="N16" s="198">
        <f t="shared" si="6"/>
        <v>32338330.127534486</v>
      </c>
      <c r="O16" s="199">
        <f t="shared" si="7"/>
        <v>16169165.063767243</v>
      </c>
      <c r="P16" s="198">
        <f t="shared" si="19"/>
        <v>5966.4815733458463</v>
      </c>
      <c r="Q16" s="200">
        <f t="shared" si="20"/>
        <v>5966.4815733458463</v>
      </c>
      <c r="R16" s="201">
        <f>+pronostico!D15*8%</f>
        <v>4773.1852586766772</v>
      </c>
      <c r="S16" s="202">
        <f t="shared" si="8"/>
        <v>12935332.051013796</v>
      </c>
      <c r="T16" s="203">
        <f t="shared" si="9"/>
        <v>6467666.0255068978</v>
      </c>
      <c r="U16" s="201">
        <f>+pronostico!D15*8%</f>
        <v>4773.1852586766772</v>
      </c>
      <c r="V16" s="204">
        <f t="shared" si="10"/>
        <v>12935332.051013796</v>
      </c>
      <c r="W16" s="205">
        <f t="shared" si="11"/>
        <v>6467666.0255068978</v>
      </c>
      <c r="X16" s="201">
        <f>+pronostico!D15*2%</f>
        <v>1193.2963146691693</v>
      </c>
      <c r="Y16" s="206">
        <f t="shared" si="12"/>
        <v>3233833.0127534489</v>
      </c>
      <c r="Z16" s="206">
        <f t="shared" si="13"/>
        <v>1616916.5063767245</v>
      </c>
      <c r="AA16" s="207">
        <f>+pronostico!D15*2%</f>
        <v>1193.2963146691693</v>
      </c>
      <c r="AB16" s="208">
        <f t="shared" si="14"/>
        <v>3233833.0127534489</v>
      </c>
      <c r="AC16" s="209">
        <f t="shared" si="15"/>
        <v>1616916.5063767245</v>
      </c>
      <c r="AD16" s="201">
        <f>+pronostico!I15*10%</f>
        <v>6338.9605391427613</v>
      </c>
      <c r="AE16" s="204">
        <f t="shared" si="16"/>
        <v>17178583.061076883</v>
      </c>
      <c r="AF16" s="205">
        <f t="shared" si="17"/>
        <v>8589291.5305384416</v>
      </c>
    </row>
    <row r="17" spans="1:32" ht="15.75" x14ac:dyDescent="0.25">
      <c r="A17" s="109">
        <f t="shared" si="21"/>
        <v>100014</v>
      </c>
      <c r="B17" s="113" t="s">
        <v>59</v>
      </c>
      <c r="C17" s="114" t="s">
        <v>46</v>
      </c>
      <c r="D17" s="115">
        <v>1480</v>
      </c>
      <c r="E17" s="104">
        <f t="shared" si="18"/>
        <v>0.5</v>
      </c>
      <c r="F17" s="105">
        <f>+pronostico!D16*50%</f>
        <v>29393.695986336137</v>
      </c>
      <c r="G17" s="106">
        <f t="shared" si="0"/>
        <v>43502670.059777483</v>
      </c>
      <c r="H17" s="107">
        <f t="shared" si="1"/>
        <v>21751335.029888742</v>
      </c>
      <c r="I17" s="106">
        <f t="shared" si="2"/>
        <v>14696.847993168069</v>
      </c>
      <c r="J17" s="108">
        <f t="shared" si="3"/>
        <v>8818.1087959008401</v>
      </c>
      <c r="K17" s="195">
        <f t="shared" si="4"/>
        <v>2939.3695986336138</v>
      </c>
      <c r="L17" s="196">
        <f t="shared" si="5"/>
        <v>2939.3695986336138</v>
      </c>
      <c r="M17" s="197">
        <f>+pronostico!D16*20%</f>
        <v>11757.478394534455</v>
      </c>
      <c r="N17" s="198">
        <f t="shared" si="6"/>
        <v>17401068.023910996</v>
      </c>
      <c r="O17" s="199">
        <f t="shared" si="7"/>
        <v>8700534.0119554978</v>
      </c>
      <c r="P17" s="198">
        <f t="shared" si="19"/>
        <v>5878.7391972672276</v>
      </c>
      <c r="Q17" s="200">
        <f t="shared" si="20"/>
        <v>5878.7391972672276</v>
      </c>
      <c r="R17" s="201">
        <f>+pronostico!D16*8%</f>
        <v>4702.9913578137821</v>
      </c>
      <c r="S17" s="202">
        <f t="shared" si="8"/>
        <v>6960427.2095643971</v>
      </c>
      <c r="T17" s="203">
        <f t="shared" si="9"/>
        <v>3480213.6047821986</v>
      </c>
      <c r="U17" s="201">
        <f>+pronostico!D16*8%</f>
        <v>4702.9913578137821</v>
      </c>
      <c r="V17" s="204">
        <f t="shared" si="10"/>
        <v>6960427.2095643971</v>
      </c>
      <c r="W17" s="205">
        <f t="shared" si="11"/>
        <v>3480213.6047821986</v>
      </c>
      <c r="X17" s="201">
        <f>+pronostico!D16*2%</f>
        <v>1175.7478394534455</v>
      </c>
      <c r="Y17" s="206">
        <f t="shared" si="12"/>
        <v>1740106.8023910993</v>
      </c>
      <c r="Z17" s="206">
        <f t="shared" si="13"/>
        <v>870053.40119554964</v>
      </c>
      <c r="AA17" s="207">
        <f>+pronostico!D16*2%</f>
        <v>1175.7478394534455</v>
      </c>
      <c r="AB17" s="208">
        <f t="shared" si="14"/>
        <v>1740106.8023910993</v>
      </c>
      <c r="AC17" s="209">
        <f t="shared" si="15"/>
        <v>870053.40119554964</v>
      </c>
      <c r="AD17" s="201">
        <f>+pronostico!I16*10%</f>
        <v>6245.7405312141873</v>
      </c>
      <c r="AE17" s="204">
        <f t="shared" si="16"/>
        <v>9243695.9861969966</v>
      </c>
      <c r="AF17" s="205">
        <f t="shared" si="17"/>
        <v>4621847.9930984983</v>
      </c>
    </row>
    <row r="18" spans="1:32" ht="15.75" x14ac:dyDescent="0.25">
      <c r="A18" s="109">
        <f>+A17+1</f>
        <v>100015</v>
      </c>
      <c r="B18" s="116" t="s">
        <v>62</v>
      </c>
      <c r="C18" s="240" t="s">
        <v>63</v>
      </c>
      <c r="D18" s="241">
        <v>2360</v>
      </c>
      <c r="E18" s="104">
        <f t="shared" si="18"/>
        <v>0.5</v>
      </c>
      <c r="F18" s="105">
        <f>+pronostico!D17*50%</f>
        <v>76645</v>
      </c>
      <c r="G18" s="106">
        <f t="shared" si="0"/>
        <v>180882200</v>
      </c>
      <c r="H18" s="107">
        <f t="shared" si="1"/>
        <v>90441100</v>
      </c>
      <c r="I18" s="106">
        <f t="shared" si="2"/>
        <v>38322.5</v>
      </c>
      <c r="J18" s="108">
        <f t="shared" si="3"/>
        <v>22993.5</v>
      </c>
      <c r="K18" s="195">
        <f t="shared" si="4"/>
        <v>7664.5</v>
      </c>
      <c r="L18" s="196">
        <f t="shared" si="5"/>
        <v>7664.5</v>
      </c>
      <c r="M18" s="197">
        <f>+pronostico!D17*20%</f>
        <v>30658</v>
      </c>
      <c r="N18" s="198">
        <f t="shared" si="6"/>
        <v>72352880</v>
      </c>
      <c r="O18" s="199">
        <f t="shared" si="7"/>
        <v>36176440</v>
      </c>
      <c r="P18" s="198">
        <f t="shared" si="19"/>
        <v>15329</v>
      </c>
      <c r="Q18" s="200">
        <f t="shared" si="20"/>
        <v>15329</v>
      </c>
      <c r="R18" s="201">
        <f>+pronostico!D17*8%</f>
        <v>12263.2</v>
      </c>
      <c r="S18" s="202">
        <f t="shared" si="8"/>
        <v>28941152</v>
      </c>
      <c r="T18" s="203">
        <f t="shared" si="9"/>
        <v>14470576</v>
      </c>
      <c r="U18" s="201">
        <f>+pronostico!D17*8%</f>
        <v>12263.2</v>
      </c>
      <c r="V18" s="204">
        <f t="shared" si="10"/>
        <v>28941152</v>
      </c>
      <c r="W18" s="205">
        <f t="shared" si="11"/>
        <v>14470576</v>
      </c>
      <c r="X18" s="201">
        <f>+pronostico!D17*2%</f>
        <v>3065.8</v>
      </c>
      <c r="Y18" s="206">
        <f t="shared" si="12"/>
        <v>7235288</v>
      </c>
      <c r="Z18" s="206">
        <f t="shared" si="13"/>
        <v>3617644</v>
      </c>
      <c r="AA18" s="207">
        <f>+pronostico!D17*2%</f>
        <v>3065.8</v>
      </c>
      <c r="AB18" s="208">
        <f t="shared" si="14"/>
        <v>7235288</v>
      </c>
      <c r="AC18" s="209">
        <f t="shared" si="15"/>
        <v>3617644</v>
      </c>
      <c r="AD18" s="201">
        <f>+pronostico!I17*10%</f>
        <v>18522.766492000002</v>
      </c>
      <c r="AE18" s="204">
        <f t="shared" si="16"/>
        <v>43713728.921120003</v>
      </c>
      <c r="AF18" s="205">
        <f t="shared" si="17"/>
        <v>21856864.460560001</v>
      </c>
    </row>
    <row r="19" spans="1:32" ht="15.75" x14ac:dyDescent="0.25">
      <c r="A19" s="109">
        <f t="shared" si="21"/>
        <v>100016</v>
      </c>
      <c r="B19" s="116" t="s">
        <v>65</v>
      </c>
      <c r="C19" s="240" t="s">
        <v>63</v>
      </c>
      <c r="D19" s="241">
        <v>5000</v>
      </c>
      <c r="E19" s="104">
        <f t="shared" si="18"/>
        <v>0.4</v>
      </c>
      <c r="F19" s="105">
        <f>+pronostico!D18*50%</f>
        <v>17895</v>
      </c>
      <c r="G19" s="106">
        <f t="shared" si="0"/>
        <v>89475000</v>
      </c>
      <c r="H19" s="107">
        <f t="shared" si="1"/>
        <v>35790000</v>
      </c>
      <c r="I19" s="106">
        <f>+F19*60%</f>
        <v>10737</v>
      </c>
      <c r="J19" s="108">
        <f t="shared" si="3"/>
        <v>5368.5</v>
      </c>
      <c r="K19" s="195">
        <f t="shared" si="4"/>
        <v>1789.5</v>
      </c>
      <c r="L19" s="196" t="s">
        <v>21</v>
      </c>
      <c r="M19" s="197">
        <f>+pronostico!D18*20%</f>
        <v>7158</v>
      </c>
      <c r="N19" s="198">
        <f t="shared" si="6"/>
        <v>35790000</v>
      </c>
      <c r="O19" s="199">
        <f t="shared" si="7"/>
        <v>14316000</v>
      </c>
      <c r="P19" s="198">
        <f t="shared" si="19"/>
        <v>3579</v>
      </c>
      <c r="Q19" s="200">
        <f t="shared" si="20"/>
        <v>3579</v>
      </c>
      <c r="R19" s="201">
        <f>+pronostico!D18*8%</f>
        <v>2863.2000000000003</v>
      </c>
      <c r="S19" s="202">
        <f t="shared" si="8"/>
        <v>14316000.000000002</v>
      </c>
      <c r="T19" s="203">
        <f t="shared" si="9"/>
        <v>5726400.0000000009</v>
      </c>
      <c r="U19" s="201">
        <f>+pronostico!D18*8%</f>
        <v>2863.2000000000003</v>
      </c>
      <c r="V19" s="204">
        <f t="shared" si="10"/>
        <v>14316000.000000002</v>
      </c>
      <c r="W19" s="205">
        <f t="shared" si="11"/>
        <v>5726400.0000000009</v>
      </c>
      <c r="X19" s="201">
        <f>+pronostico!D18*2%</f>
        <v>715.80000000000007</v>
      </c>
      <c r="Y19" s="206">
        <f t="shared" si="12"/>
        <v>3579000.0000000005</v>
      </c>
      <c r="Z19" s="206">
        <f t="shared" si="13"/>
        <v>1431600.0000000002</v>
      </c>
      <c r="AA19" s="207">
        <f>+pronostico!D18*2%</f>
        <v>715.80000000000007</v>
      </c>
      <c r="AB19" s="208">
        <f t="shared" si="14"/>
        <v>3579000.0000000005</v>
      </c>
      <c r="AC19" s="209">
        <f t="shared" si="15"/>
        <v>1431600.0000000002</v>
      </c>
      <c r="AD19" s="201">
        <f>+pronostico!I18*10%</f>
        <v>4324.6774920000007</v>
      </c>
      <c r="AE19" s="204">
        <f t="shared" si="16"/>
        <v>21623387.460000005</v>
      </c>
      <c r="AF19" s="205">
        <f t="shared" si="17"/>
        <v>8649354.984000003</v>
      </c>
    </row>
    <row r="20" spans="1:32" ht="15.75" x14ac:dyDescent="0.25">
      <c r="A20" s="109">
        <f t="shared" si="21"/>
        <v>100017</v>
      </c>
      <c r="B20" s="116" t="s">
        <v>66</v>
      </c>
      <c r="C20" s="240" t="s">
        <v>63</v>
      </c>
      <c r="D20" s="241">
        <v>3590</v>
      </c>
      <c r="E20" s="104">
        <f t="shared" si="18"/>
        <v>0.4</v>
      </c>
      <c r="F20" s="105">
        <f>+pronostico!D19*50%</f>
        <v>12900</v>
      </c>
      <c r="G20" s="106">
        <f t="shared" si="0"/>
        <v>46311000</v>
      </c>
      <c r="H20" s="107">
        <f t="shared" si="1"/>
        <v>18524400</v>
      </c>
      <c r="I20" s="106">
        <f>+F20*50%</f>
        <v>6450</v>
      </c>
      <c r="J20" s="108">
        <f t="shared" si="3"/>
        <v>3870</v>
      </c>
      <c r="K20" s="195">
        <f t="shared" si="4"/>
        <v>1290</v>
      </c>
      <c r="L20" s="196">
        <f>+F20*10%</f>
        <v>1290</v>
      </c>
      <c r="M20" s="197">
        <f>+pronostico!D19*20%</f>
        <v>5160</v>
      </c>
      <c r="N20" s="198">
        <f t="shared" si="6"/>
        <v>18524400</v>
      </c>
      <c r="O20" s="199">
        <f t="shared" si="7"/>
        <v>7409760</v>
      </c>
      <c r="P20" s="198">
        <f t="shared" si="19"/>
        <v>2580</v>
      </c>
      <c r="Q20" s="200">
        <f t="shared" si="20"/>
        <v>2580</v>
      </c>
      <c r="R20" s="201">
        <f>+pronostico!D19*8%</f>
        <v>2064</v>
      </c>
      <c r="S20" s="202">
        <f t="shared" si="8"/>
        <v>7409760</v>
      </c>
      <c r="T20" s="203">
        <f t="shared" si="9"/>
        <v>2963904</v>
      </c>
      <c r="U20" s="201">
        <f>+pronostico!D19*8%</f>
        <v>2064</v>
      </c>
      <c r="V20" s="204">
        <f t="shared" si="10"/>
        <v>7409760</v>
      </c>
      <c r="W20" s="205">
        <f t="shared" si="11"/>
        <v>2963904</v>
      </c>
      <c r="X20" s="201">
        <f>+pronostico!D19*2%</f>
        <v>516</v>
      </c>
      <c r="Y20" s="206">
        <f t="shared" si="12"/>
        <v>1852440</v>
      </c>
      <c r="Z20" s="206">
        <f t="shared" si="13"/>
        <v>740976</v>
      </c>
      <c r="AA20" s="207">
        <f>+pronostico!D19*2%</f>
        <v>516</v>
      </c>
      <c r="AB20" s="208">
        <f t="shared" si="14"/>
        <v>1852440</v>
      </c>
      <c r="AC20" s="209">
        <f t="shared" si="15"/>
        <v>740976</v>
      </c>
      <c r="AD20" s="201">
        <f>+pronostico!I19*10%</f>
        <v>3117.5378400000004</v>
      </c>
      <c r="AE20" s="204">
        <f t="shared" si="16"/>
        <v>11191960.845600002</v>
      </c>
      <c r="AF20" s="205">
        <f t="shared" si="17"/>
        <v>4476784.3382400004</v>
      </c>
    </row>
    <row r="21" spans="1:32" ht="15.75" x14ac:dyDescent="0.25">
      <c r="A21" s="109">
        <f t="shared" si="21"/>
        <v>100018</v>
      </c>
      <c r="B21" s="116" t="s">
        <v>68</v>
      </c>
      <c r="C21" s="240" t="s">
        <v>63</v>
      </c>
      <c r="D21" s="241">
        <v>12330</v>
      </c>
      <c r="E21" s="104">
        <f t="shared" si="18"/>
        <v>0.4</v>
      </c>
      <c r="F21" s="105">
        <f>+pronostico!D20*50%</f>
        <v>12300</v>
      </c>
      <c r="G21" s="106">
        <f t="shared" si="0"/>
        <v>151659000</v>
      </c>
      <c r="H21" s="107">
        <f t="shared" si="1"/>
        <v>60663600</v>
      </c>
      <c r="I21" s="106">
        <f t="shared" ref="I21:I51" si="22">+F21*60%</f>
        <v>7380</v>
      </c>
      <c r="J21" s="108">
        <f t="shared" si="3"/>
        <v>3690</v>
      </c>
      <c r="K21" s="195">
        <f t="shared" si="4"/>
        <v>1230</v>
      </c>
      <c r="L21" s="196" t="s">
        <v>21</v>
      </c>
      <c r="M21" s="197">
        <f>+pronostico!D20*20%</f>
        <v>4920</v>
      </c>
      <c r="N21" s="198">
        <f t="shared" si="6"/>
        <v>60663600</v>
      </c>
      <c r="O21" s="199">
        <f t="shared" si="7"/>
        <v>24265440</v>
      </c>
      <c r="P21" s="198">
        <f t="shared" si="19"/>
        <v>2460</v>
      </c>
      <c r="Q21" s="200">
        <f t="shared" si="20"/>
        <v>2460</v>
      </c>
      <c r="R21" s="201">
        <f>+pronostico!D20*8%</f>
        <v>1968</v>
      </c>
      <c r="S21" s="202">
        <f t="shared" si="8"/>
        <v>24265440</v>
      </c>
      <c r="T21" s="203">
        <f t="shared" si="9"/>
        <v>9706176</v>
      </c>
      <c r="U21" s="201">
        <f>+pronostico!D20*8%</f>
        <v>1968</v>
      </c>
      <c r="V21" s="204">
        <f t="shared" si="10"/>
        <v>24265440</v>
      </c>
      <c r="W21" s="205">
        <f t="shared" si="11"/>
        <v>9706176</v>
      </c>
      <c r="X21" s="201">
        <f>+pronostico!D20*2%</f>
        <v>492</v>
      </c>
      <c r="Y21" s="206">
        <f t="shared" si="12"/>
        <v>6066360</v>
      </c>
      <c r="Z21" s="206">
        <f t="shared" si="13"/>
        <v>2426544</v>
      </c>
      <c r="AA21" s="207">
        <f>+pronostico!D20*2%</f>
        <v>492</v>
      </c>
      <c r="AB21" s="208">
        <f t="shared" si="14"/>
        <v>6066360</v>
      </c>
      <c r="AC21" s="209">
        <f t="shared" si="15"/>
        <v>2426544</v>
      </c>
      <c r="AD21" s="201">
        <f>+pronostico!I20*10%</f>
        <v>2972.5360800000003</v>
      </c>
      <c r="AE21" s="204">
        <f t="shared" si="16"/>
        <v>36651369.866400003</v>
      </c>
      <c r="AF21" s="205">
        <f t="shared" si="17"/>
        <v>14660547.946560003</v>
      </c>
    </row>
    <row r="22" spans="1:32" ht="15.75" x14ac:dyDescent="0.25">
      <c r="A22" s="109">
        <f t="shared" si="21"/>
        <v>100019</v>
      </c>
      <c r="B22" s="116" t="s">
        <v>70</v>
      </c>
      <c r="C22" s="240" t="s">
        <v>63</v>
      </c>
      <c r="D22" s="241">
        <v>7480</v>
      </c>
      <c r="E22" s="104">
        <f t="shared" si="18"/>
        <v>0.4</v>
      </c>
      <c r="F22" s="105">
        <f>+pronostico!D21*50%</f>
        <v>10785</v>
      </c>
      <c r="G22" s="106">
        <f t="shared" si="0"/>
        <v>80671800</v>
      </c>
      <c r="H22" s="107">
        <f t="shared" si="1"/>
        <v>32268720</v>
      </c>
      <c r="I22" s="106">
        <f t="shared" si="22"/>
        <v>6471</v>
      </c>
      <c r="J22" s="108">
        <f t="shared" si="3"/>
        <v>3235.5</v>
      </c>
      <c r="K22" s="195">
        <f t="shared" si="4"/>
        <v>1078.5</v>
      </c>
      <c r="L22" s="196" t="s">
        <v>21</v>
      </c>
      <c r="M22" s="197">
        <f>+pronostico!D21*20%</f>
        <v>4314</v>
      </c>
      <c r="N22" s="198">
        <f t="shared" si="6"/>
        <v>32268720</v>
      </c>
      <c r="O22" s="199">
        <f t="shared" si="7"/>
        <v>12907488</v>
      </c>
      <c r="P22" s="198">
        <f t="shared" si="19"/>
        <v>2157</v>
      </c>
      <c r="Q22" s="200">
        <f t="shared" si="20"/>
        <v>2157</v>
      </c>
      <c r="R22" s="201">
        <f>+pronostico!D21*8%</f>
        <v>1725.6000000000001</v>
      </c>
      <c r="S22" s="202">
        <f t="shared" si="8"/>
        <v>12907488.000000002</v>
      </c>
      <c r="T22" s="203">
        <f t="shared" si="9"/>
        <v>5162995.2000000011</v>
      </c>
      <c r="U22" s="201">
        <f>+pronostico!D21*8%</f>
        <v>1725.6000000000001</v>
      </c>
      <c r="V22" s="204">
        <f t="shared" si="10"/>
        <v>12907488.000000002</v>
      </c>
      <c r="W22" s="205">
        <f t="shared" si="11"/>
        <v>5162995.2000000011</v>
      </c>
      <c r="X22" s="201">
        <f>+pronostico!D21*2%</f>
        <v>431.40000000000003</v>
      </c>
      <c r="Y22" s="206">
        <f t="shared" si="12"/>
        <v>3226872.0000000005</v>
      </c>
      <c r="Z22" s="206">
        <f t="shared" si="13"/>
        <v>1290748.8000000003</v>
      </c>
      <c r="AA22" s="207">
        <f>+pronostico!D21*2%</f>
        <v>431.40000000000003</v>
      </c>
      <c r="AB22" s="208">
        <f t="shared" si="14"/>
        <v>3226872.0000000005</v>
      </c>
      <c r="AC22" s="209">
        <f t="shared" si="15"/>
        <v>1290748.8000000003</v>
      </c>
      <c r="AD22" s="201">
        <f>+pronostico!I21*10%</f>
        <v>2606.4066360000002</v>
      </c>
      <c r="AE22" s="204">
        <f t="shared" si="16"/>
        <v>19495921.637280002</v>
      </c>
      <c r="AF22" s="205">
        <f t="shared" si="17"/>
        <v>7798368.6549120015</v>
      </c>
    </row>
    <row r="23" spans="1:32" ht="15.75" x14ac:dyDescent="0.25">
      <c r="A23" s="109">
        <f t="shared" si="21"/>
        <v>100020</v>
      </c>
      <c r="B23" s="116" t="s">
        <v>72</v>
      </c>
      <c r="C23" s="240" t="s">
        <v>63</v>
      </c>
      <c r="D23" s="241">
        <v>4100</v>
      </c>
      <c r="E23" s="104">
        <f t="shared" si="18"/>
        <v>0.4</v>
      </c>
      <c r="F23" s="105">
        <f>+pronostico!D22*50%</f>
        <v>7300</v>
      </c>
      <c r="G23" s="106">
        <f t="shared" si="0"/>
        <v>29930000</v>
      </c>
      <c r="H23" s="107">
        <f t="shared" si="1"/>
        <v>11972000</v>
      </c>
      <c r="I23" s="106">
        <f t="shared" si="22"/>
        <v>4380</v>
      </c>
      <c r="J23" s="108">
        <f t="shared" si="3"/>
        <v>2190</v>
      </c>
      <c r="K23" s="195">
        <f t="shared" si="4"/>
        <v>730</v>
      </c>
      <c r="L23" s="196" t="s">
        <v>21</v>
      </c>
      <c r="M23" s="197">
        <f>+pronostico!D22*20%</f>
        <v>2920</v>
      </c>
      <c r="N23" s="198">
        <f t="shared" si="6"/>
        <v>11972000</v>
      </c>
      <c r="O23" s="199">
        <f t="shared" si="7"/>
        <v>4788800</v>
      </c>
      <c r="P23" s="198">
        <f t="shared" si="19"/>
        <v>1460</v>
      </c>
      <c r="Q23" s="200">
        <f t="shared" si="20"/>
        <v>1460</v>
      </c>
      <c r="R23" s="201">
        <f>+pronostico!D22*8%</f>
        <v>1168</v>
      </c>
      <c r="S23" s="202">
        <f t="shared" si="8"/>
        <v>4788800</v>
      </c>
      <c r="T23" s="203">
        <f t="shared" si="9"/>
        <v>1915520</v>
      </c>
      <c r="U23" s="201">
        <f>+pronostico!D22*8%</f>
        <v>1168</v>
      </c>
      <c r="V23" s="204">
        <f t="shared" si="10"/>
        <v>4788800</v>
      </c>
      <c r="W23" s="205">
        <f t="shared" si="11"/>
        <v>1915520</v>
      </c>
      <c r="X23" s="201">
        <f>+pronostico!D22*2%</f>
        <v>292</v>
      </c>
      <c r="Y23" s="206">
        <f t="shared" si="12"/>
        <v>1197200</v>
      </c>
      <c r="Z23" s="206">
        <f t="shared" si="13"/>
        <v>478880</v>
      </c>
      <c r="AA23" s="207">
        <f>+pronostico!D22*2%</f>
        <v>292</v>
      </c>
      <c r="AB23" s="208">
        <f t="shared" si="14"/>
        <v>1197200</v>
      </c>
      <c r="AC23" s="209">
        <f t="shared" si="15"/>
        <v>478880</v>
      </c>
      <c r="AD23" s="201">
        <f>+pronostico!I22*10%</f>
        <v>1764.1880799999999</v>
      </c>
      <c r="AE23" s="204">
        <f t="shared" si="16"/>
        <v>7233171.1279999996</v>
      </c>
      <c r="AF23" s="205">
        <f t="shared" si="17"/>
        <v>2893268.4512</v>
      </c>
    </row>
    <row r="24" spans="1:32" ht="15.75" x14ac:dyDescent="0.25">
      <c r="A24" s="109">
        <f>+A23+1</f>
        <v>100021</v>
      </c>
      <c r="B24" s="110" t="s">
        <v>73</v>
      </c>
      <c r="C24" s="242" t="s">
        <v>75</v>
      </c>
      <c r="D24" s="243">
        <v>3300</v>
      </c>
      <c r="E24" s="104">
        <f t="shared" si="18"/>
        <v>0.5</v>
      </c>
      <c r="F24" s="105">
        <f>+pronostico!D23*50%</f>
        <v>12500</v>
      </c>
      <c r="G24" s="106">
        <f t="shared" si="0"/>
        <v>41250000</v>
      </c>
      <c r="H24" s="107">
        <f t="shared" si="1"/>
        <v>20625000</v>
      </c>
      <c r="I24" s="106">
        <f t="shared" si="22"/>
        <v>7500</v>
      </c>
      <c r="J24" s="108">
        <f t="shared" si="3"/>
        <v>3750</v>
      </c>
      <c r="K24" s="195">
        <f t="shared" si="4"/>
        <v>1250</v>
      </c>
      <c r="L24" s="196" t="s">
        <v>21</v>
      </c>
      <c r="M24" s="197">
        <f>+pronostico!D23*20%</f>
        <v>5000</v>
      </c>
      <c r="N24" s="198">
        <f t="shared" si="6"/>
        <v>16500000</v>
      </c>
      <c r="O24" s="199">
        <f t="shared" si="7"/>
        <v>8250000</v>
      </c>
      <c r="P24" s="198">
        <f t="shared" si="19"/>
        <v>2500</v>
      </c>
      <c r="Q24" s="200">
        <f t="shared" si="20"/>
        <v>2500</v>
      </c>
      <c r="R24" s="201">
        <f>+pronostico!D23*8%</f>
        <v>2000</v>
      </c>
      <c r="S24" s="202">
        <f t="shared" si="8"/>
        <v>6600000</v>
      </c>
      <c r="T24" s="203">
        <f t="shared" si="9"/>
        <v>3300000</v>
      </c>
      <c r="U24" s="201">
        <f>+pronostico!D23*8%</f>
        <v>2000</v>
      </c>
      <c r="V24" s="204">
        <f t="shared" si="10"/>
        <v>6600000</v>
      </c>
      <c r="W24" s="205">
        <f t="shared" si="11"/>
        <v>3300000</v>
      </c>
      <c r="X24" s="201">
        <f>+pronostico!D23*2%</f>
        <v>500</v>
      </c>
      <c r="Y24" s="206">
        <f t="shared" si="12"/>
        <v>1650000</v>
      </c>
      <c r="Z24" s="206">
        <f t="shared" si="13"/>
        <v>825000</v>
      </c>
      <c r="AA24" s="207">
        <f>+pronostico!D23*2%</f>
        <v>500</v>
      </c>
      <c r="AB24" s="208">
        <f t="shared" si="14"/>
        <v>1650000</v>
      </c>
      <c r="AC24" s="209">
        <f t="shared" si="15"/>
        <v>825000</v>
      </c>
      <c r="AD24" s="201">
        <f>+pronostico!I23*10%</f>
        <v>2500</v>
      </c>
      <c r="AE24" s="204">
        <f t="shared" si="16"/>
        <v>8250000</v>
      </c>
      <c r="AF24" s="205">
        <f t="shared" si="17"/>
        <v>4125000</v>
      </c>
    </row>
    <row r="25" spans="1:32" ht="15.75" x14ac:dyDescent="0.25">
      <c r="A25" s="109">
        <f t="shared" si="21"/>
        <v>100022</v>
      </c>
      <c r="B25" s="110" t="s">
        <v>76</v>
      </c>
      <c r="C25" s="242" t="s">
        <v>75</v>
      </c>
      <c r="D25" s="243">
        <v>3000</v>
      </c>
      <c r="E25" s="104">
        <f t="shared" si="18"/>
        <v>0.5</v>
      </c>
      <c r="F25" s="105">
        <f>+pronostico!D24*50%</f>
        <v>15000</v>
      </c>
      <c r="G25" s="106">
        <f t="shared" si="0"/>
        <v>45000000</v>
      </c>
      <c r="H25" s="107">
        <f t="shared" si="1"/>
        <v>22500000</v>
      </c>
      <c r="I25" s="106">
        <f t="shared" si="22"/>
        <v>9000</v>
      </c>
      <c r="J25" s="108">
        <f t="shared" si="3"/>
        <v>4500</v>
      </c>
      <c r="K25" s="195">
        <f t="shared" si="4"/>
        <v>1500</v>
      </c>
      <c r="L25" s="196" t="s">
        <v>21</v>
      </c>
      <c r="M25" s="197">
        <f>+pronostico!D24*20%</f>
        <v>6000</v>
      </c>
      <c r="N25" s="198">
        <f t="shared" si="6"/>
        <v>18000000</v>
      </c>
      <c r="O25" s="199">
        <f t="shared" si="7"/>
        <v>9000000</v>
      </c>
      <c r="P25" s="198">
        <f t="shared" si="19"/>
        <v>3000</v>
      </c>
      <c r="Q25" s="200">
        <f t="shared" si="20"/>
        <v>3000</v>
      </c>
      <c r="R25" s="201">
        <f>+pronostico!D24*8%</f>
        <v>2400</v>
      </c>
      <c r="S25" s="202">
        <f t="shared" si="8"/>
        <v>7200000</v>
      </c>
      <c r="T25" s="203">
        <f t="shared" si="9"/>
        <v>3600000</v>
      </c>
      <c r="U25" s="201">
        <f>+pronostico!D24*8%</f>
        <v>2400</v>
      </c>
      <c r="V25" s="204">
        <f t="shared" si="10"/>
        <v>7200000</v>
      </c>
      <c r="W25" s="205">
        <f t="shared" si="11"/>
        <v>3600000</v>
      </c>
      <c r="X25" s="201">
        <f>+pronostico!D24*2%</f>
        <v>600</v>
      </c>
      <c r="Y25" s="206">
        <f t="shared" si="12"/>
        <v>1800000</v>
      </c>
      <c r="Z25" s="206">
        <f t="shared" si="13"/>
        <v>900000</v>
      </c>
      <c r="AA25" s="207">
        <f>+pronostico!D24*2%</f>
        <v>600</v>
      </c>
      <c r="AB25" s="208">
        <f t="shared" si="14"/>
        <v>1800000</v>
      </c>
      <c r="AC25" s="209">
        <f t="shared" si="15"/>
        <v>900000</v>
      </c>
      <c r="AD25" s="201">
        <f>+pronostico!I24*10%</f>
        <v>3000</v>
      </c>
      <c r="AE25" s="204">
        <f t="shared" si="16"/>
        <v>9000000</v>
      </c>
      <c r="AF25" s="205">
        <f t="shared" si="17"/>
        <v>4500000</v>
      </c>
    </row>
    <row r="26" spans="1:32" ht="15.75" x14ac:dyDescent="0.25">
      <c r="A26" s="109">
        <f t="shared" si="21"/>
        <v>100023</v>
      </c>
      <c r="B26" s="110" t="s">
        <v>78</v>
      </c>
      <c r="C26" s="242" t="s">
        <v>75</v>
      </c>
      <c r="D26" s="243">
        <v>3800</v>
      </c>
      <c r="E26" s="104">
        <f t="shared" si="18"/>
        <v>0.4</v>
      </c>
      <c r="F26" s="105">
        <f>+pronostico!D25*50%</f>
        <v>20000</v>
      </c>
      <c r="G26" s="106">
        <f t="shared" si="0"/>
        <v>76000000</v>
      </c>
      <c r="H26" s="107">
        <f t="shared" si="1"/>
        <v>30400000</v>
      </c>
      <c r="I26" s="106">
        <f t="shared" si="22"/>
        <v>12000</v>
      </c>
      <c r="J26" s="108">
        <f t="shared" si="3"/>
        <v>6000</v>
      </c>
      <c r="K26" s="195">
        <f t="shared" si="4"/>
        <v>2000</v>
      </c>
      <c r="L26" s="196" t="s">
        <v>21</v>
      </c>
      <c r="M26" s="197">
        <f>+pronostico!D25*20%</f>
        <v>8000</v>
      </c>
      <c r="N26" s="198">
        <f t="shared" si="6"/>
        <v>30400000</v>
      </c>
      <c r="O26" s="199">
        <f t="shared" si="7"/>
        <v>12160000</v>
      </c>
      <c r="P26" s="198">
        <f t="shared" si="19"/>
        <v>4000</v>
      </c>
      <c r="Q26" s="200">
        <f t="shared" si="20"/>
        <v>4000</v>
      </c>
      <c r="R26" s="201">
        <f>+pronostico!D25*8%</f>
        <v>3200</v>
      </c>
      <c r="S26" s="202">
        <f t="shared" si="8"/>
        <v>12160000</v>
      </c>
      <c r="T26" s="203">
        <f t="shared" si="9"/>
        <v>4864000</v>
      </c>
      <c r="U26" s="201">
        <f>+pronostico!D25*8%</f>
        <v>3200</v>
      </c>
      <c r="V26" s="204">
        <f t="shared" si="10"/>
        <v>12160000</v>
      </c>
      <c r="W26" s="205">
        <f t="shared" si="11"/>
        <v>4864000</v>
      </c>
      <c r="X26" s="201">
        <f>+pronostico!D25*2%</f>
        <v>800</v>
      </c>
      <c r="Y26" s="206">
        <f t="shared" si="12"/>
        <v>3040000</v>
      </c>
      <c r="Z26" s="206">
        <f t="shared" si="13"/>
        <v>1216000</v>
      </c>
      <c r="AA26" s="207">
        <f>+pronostico!D25*2%</f>
        <v>800</v>
      </c>
      <c r="AB26" s="208">
        <f t="shared" si="14"/>
        <v>3040000</v>
      </c>
      <c r="AC26" s="209">
        <f t="shared" si="15"/>
        <v>1216000</v>
      </c>
      <c r="AD26" s="201">
        <f>+pronostico!I25*10%</f>
        <v>4000</v>
      </c>
      <c r="AE26" s="204">
        <f t="shared" si="16"/>
        <v>15200000</v>
      </c>
      <c r="AF26" s="205">
        <f t="shared" si="17"/>
        <v>6080000</v>
      </c>
    </row>
    <row r="27" spans="1:32" ht="15.75" x14ac:dyDescent="0.25">
      <c r="A27" s="109">
        <f t="shared" si="21"/>
        <v>100024</v>
      </c>
      <c r="B27" s="119" t="s">
        <v>80</v>
      </c>
      <c r="C27" s="242" t="s">
        <v>75</v>
      </c>
      <c r="D27" s="243">
        <v>2300</v>
      </c>
      <c r="E27" s="104">
        <f t="shared" si="18"/>
        <v>0.5</v>
      </c>
      <c r="F27" s="105">
        <f>+pronostico!D26*50%</f>
        <v>30000</v>
      </c>
      <c r="G27" s="106">
        <f t="shared" si="0"/>
        <v>69000000</v>
      </c>
      <c r="H27" s="107">
        <f t="shared" si="1"/>
        <v>34500000</v>
      </c>
      <c r="I27" s="106">
        <f t="shared" si="22"/>
        <v>18000</v>
      </c>
      <c r="J27" s="108">
        <f t="shared" si="3"/>
        <v>9000</v>
      </c>
      <c r="K27" s="195">
        <f t="shared" si="4"/>
        <v>3000</v>
      </c>
      <c r="L27" s="196" t="s">
        <v>21</v>
      </c>
      <c r="M27" s="197">
        <f>+pronostico!D26*20%</f>
        <v>12000</v>
      </c>
      <c r="N27" s="198">
        <f t="shared" si="6"/>
        <v>27600000</v>
      </c>
      <c r="O27" s="199">
        <f t="shared" si="7"/>
        <v>13800000</v>
      </c>
      <c r="P27" s="198">
        <f t="shared" si="19"/>
        <v>6000</v>
      </c>
      <c r="Q27" s="200">
        <f t="shared" si="20"/>
        <v>6000</v>
      </c>
      <c r="R27" s="201">
        <f>+pronostico!D26*8%</f>
        <v>4800</v>
      </c>
      <c r="S27" s="202">
        <f t="shared" si="8"/>
        <v>11040000</v>
      </c>
      <c r="T27" s="203">
        <f t="shared" si="9"/>
        <v>5520000</v>
      </c>
      <c r="U27" s="201">
        <f>+pronostico!D26*8%</f>
        <v>4800</v>
      </c>
      <c r="V27" s="204">
        <f t="shared" si="10"/>
        <v>11040000</v>
      </c>
      <c r="W27" s="205">
        <f t="shared" si="11"/>
        <v>5520000</v>
      </c>
      <c r="X27" s="201">
        <f>+pronostico!D26*2%</f>
        <v>1200</v>
      </c>
      <c r="Y27" s="206">
        <f t="shared" si="12"/>
        <v>2760000</v>
      </c>
      <c r="Z27" s="206">
        <f t="shared" si="13"/>
        <v>1380000</v>
      </c>
      <c r="AA27" s="207">
        <f>+pronostico!D26*2%</f>
        <v>1200</v>
      </c>
      <c r="AB27" s="208">
        <f t="shared" si="14"/>
        <v>2760000</v>
      </c>
      <c r="AC27" s="209">
        <f t="shared" si="15"/>
        <v>1380000</v>
      </c>
      <c r="AD27" s="201">
        <f>+pronostico!I26*10%</f>
        <v>6000</v>
      </c>
      <c r="AE27" s="204">
        <f t="shared" si="16"/>
        <v>13800000</v>
      </c>
      <c r="AF27" s="205">
        <f t="shared" si="17"/>
        <v>6900000</v>
      </c>
    </row>
    <row r="28" spans="1:32" ht="15.75" x14ac:dyDescent="0.25">
      <c r="A28" s="109">
        <f t="shared" si="21"/>
        <v>100025</v>
      </c>
      <c r="B28" s="119" t="s">
        <v>82</v>
      </c>
      <c r="C28" s="242" t="s">
        <v>75</v>
      </c>
      <c r="D28" s="243">
        <v>3900</v>
      </c>
      <c r="E28" s="104">
        <f t="shared" si="18"/>
        <v>0.4</v>
      </c>
      <c r="F28" s="105">
        <f>+pronostico!D27*50%</f>
        <v>15000</v>
      </c>
      <c r="G28" s="106">
        <f t="shared" si="0"/>
        <v>58500000</v>
      </c>
      <c r="H28" s="107">
        <f t="shared" si="1"/>
        <v>23400000</v>
      </c>
      <c r="I28" s="106">
        <f t="shared" si="22"/>
        <v>9000</v>
      </c>
      <c r="J28" s="108">
        <f t="shared" si="3"/>
        <v>4500</v>
      </c>
      <c r="K28" s="195">
        <f t="shared" si="4"/>
        <v>1500</v>
      </c>
      <c r="L28" s="196" t="s">
        <v>21</v>
      </c>
      <c r="M28" s="197">
        <f>+pronostico!D27*20%</f>
        <v>6000</v>
      </c>
      <c r="N28" s="198">
        <f t="shared" si="6"/>
        <v>23400000</v>
      </c>
      <c r="O28" s="199">
        <f t="shared" si="7"/>
        <v>9360000</v>
      </c>
      <c r="P28" s="198">
        <f t="shared" si="19"/>
        <v>3000</v>
      </c>
      <c r="Q28" s="200">
        <f t="shared" si="20"/>
        <v>3000</v>
      </c>
      <c r="R28" s="201">
        <f>+pronostico!D27*8%</f>
        <v>2400</v>
      </c>
      <c r="S28" s="202">
        <f t="shared" si="8"/>
        <v>9360000</v>
      </c>
      <c r="T28" s="203">
        <f t="shared" si="9"/>
        <v>3744000</v>
      </c>
      <c r="U28" s="201">
        <f>+pronostico!D27*8%</f>
        <v>2400</v>
      </c>
      <c r="V28" s="204">
        <f t="shared" si="10"/>
        <v>9360000</v>
      </c>
      <c r="W28" s="205">
        <f t="shared" si="11"/>
        <v>3744000</v>
      </c>
      <c r="X28" s="201">
        <f>+pronostico!D27*2%</f>
        <v>600</v>
      </c>
      <c r="Y28" s="206">
        <f t="shared" si="12"/>
        <v>2340000</v>
      </c>
      <c r="Z28" s="206">
        <f t="shared" si="13"/>
        <v>936000</v>
      </c>
      <c r="AA28" s="207">
        <f>+pronostico!D27*2%</f>
        <v>600</v>
      </c>
      <c r="AB28" s="208">
        <f t="shared" si="14"/>
        <v>2340000</v>
      </c>
      <c r="AC28" s="209">
        <f t="shared" si="15"/>
        <v>936000</v>
      </c>
      <c r="AD28" s="201">
        <f>+pronostico!I27*10%</f>
        <v>3000</v>
      </c>
      <c r="AE28" s="204">
        <f t="shared" si="16"/>
        <v>11700000</v>
      </c>
      <c r="AF28" s="205">
        <f t="shared" si="17"/>
        <v>4680000</v>
      </c>
    </row>
    <row r="29" spans="1:32" ht="15.75" x14ac:dyDescent="0.25">
      <c r="A29" s="109">
        <f t="shared" si="21"/>
        <v>100026</v>
      </c>
      <c r="B29" s="119" t="s">
        <v>84</v>
      </c>
      <c r="C29" s="242" t="s">
        <v>75</v>
      </c>
      <c r="D29" s="243">
        <v>3000</v>
      </c>
      <c r="E29" s="104">
        <f t="shared" si="18"/>
        <v>0.5</v>
      </c>
      <c r="F29" s="105">
        <f>+pronostico!D28*50%</f>
        <v>32500</v>
      </c>
      <c r="G29" s="106">
        <f t="shared" si="0"/>
        <v>97500000</v>
      </c>
      <c r="H29" s="107">
        <f t="shared" si="1"/>
        <v>48750000</v>
      </c>
      <c r="I29" s="106">
        <f t="shared" si="22"/>
        <v>19500</v>
      </c>
      <c r="J29" s="108">
        <f t="shared" si="3"/>
        <v>9750</v>
      </c>
      <c r="K29" s="195">
        <f t="shared" si="4"/>
        <v>3250</v>
      </c>
      <c r="L29" s="196" t="s">
        <v>21</v>
      </c>
      <c r="M29" s="197">
        <f>+pronostico!D28*20%</f>
        <v>13000</v>
      </c>
      <c r="N29" s="198">
        <f t="shared" si="6"/>
        <v>39000000</v>
      </c>
      <c r="O29" s="199">
        <f t="shared" si="7"/>
        <v>19500000</v>
      </c>
      <c r="P29" s="198">
        <f t="shared" si="19"/>
        <v>6500</v>
      </c>
      <c r="Q29" s="200">
        <f t="shared" si="20"/>
        <v>6500</v>
      </c>
      <c r="R29" s="201">
        <f>+pronostico!D28*8%</f>
        <v>5200</v>
      </c>
      <c r="S29" s="202">
        <f t="shared" si="8"/>
        <v>15600000</v>
      </c>
      <c r="T29" s="203">
        <f t="shared" si="9"/>
        <v>7800000</v>
      </c>
      <c r="U29" s="201">
        <f>+pronostico!D28*8%</f>
        <v>5200</v>
      </c>
      <c r="V29" s="204">
        <f t="shared" si="10"/>
        <v>15600000</v>
      </c>
      <c r="W29" s="205">
        <f t="shared" si="11"/>
        <v>7800000</v>
      </c>
      <c r="X29" s="201">
        <f>+pronostico!D28*2%</f>
        <v>1300</v>
      </c>
      <c r="Y29" s="206">
        <f t="shared" si="12"/>
        <v>3900000</v>
      </c>
      <c r="Z29" s="206">
        <f t="shared" si="13"/>
        <v>1950000</v>
      </c>
      <c r="AA29" s="207">
        <f>+pronostico!D28*2%</f>
        <v>1300</v>
      </c>
      <c r="AB29" s="208">
        <f t="shared" si="14"/>
        <v>3900000</v>
      </c>
      <c r="AC29" s="209">
        <f t="shared" si="15"/>
        <v>1950000</v>
      </c>
      <c r="AD29" s="201">
        <f>+pronostico!I28*10%</f>
        <v>6500</v>
      </c>
      <c r="AE29" s="204">
        <f t="shared" si="16"/>
        <v>19500000</v>
      </c>
      <c r="AF29" s="205">
        <f t="shared" si="17"/>
        <v>9750000</v>
      </c>
    </row>
    <row r="30" spans="1:32" ht="15.75" x14ac:dyDescent="0.25">
      <c r="A30" s="109">
        <f t="shared" si="21"/>
        <v>100027</v>
      </c>
      <c r="B30" s="119" t="s">
        <v>85</v>
      </c>
      <c r="C30" s="117" t="s">
        <v>75</v>
      </c>
      <c r="D30" s="118">
        <v>4100</v>
      </c>
      <c r="E30" s="104">
        <f t="shared" si="18"/>
        <v>0.4</v>
      </c>
      <c r="F30" s="105">
        <f>+pronostico!D29*50%</f>
        <v>12500</v>
      </c>
      <c r="G30" s="106">
        <f t="shared" si="0"/>
        <v>51250000</v>
      </c>
      <c r="H30" s="107">
        <f t="shared" si="1"/>
        <v>20500000</v>
      </c>
      <c r="I30" s="106">
        <f t="shared" si="22"/>
        <v>7500</v>
      </c>
      <c r="J30" s="108">
        <f t="shared" si="3"/>
        <v>3750</v>
      </c>
      <c r="K30" s="195">
        <f t="shared" si="4"/>
        <v>1250</v>
      </c>
      <c r="L30" s="196" t="s">
        <v>21</v>
      </c>
      <c r="M30" s="197">
        <f>+pronostico!D29*20%</f>
        <v>5000</v>
      </c>
      <c r="N30" s="198">
        <f t="shared" si="6"/>
        <v>20500000</v>
      </c>
      <c r="O30" s="199">
        <f t="shared" si="7"/>
        <v>8200000</v>
      </c>
      <c r="P30" s="198">
        <f t="shared" si="19"/>
        <v>2500</v>
      </c>
      <c r="Q30" s="200">
        <f t="shared" si="20"/>
        <v>2500</v>
      </c>
      <c r="R30" s="201">
        <f>+pronostico!D29*8%</f>
        <v>2000</v>
      </c>
      <c r="S30" s="202">
        <f t="shared" si="8"/>
        <v>8200000</v>
      </c>
      <c r="T30" s="203">
        <f t="shared" si="9"/>
        <v>3280000</v>
      </c>
      <c r="U30" s="201">
        <f>+pronostico!D29*8%</f>
        <v>2000</v>
      </c>
      <c r="V30" s="204">
        <f t="shared" si="10"/>
        <v>8200000</v>
      </c>
      <c r="W30" s="205">
        <f t="shared" si="11"/>
        <v>3280000</v>
      </c>
      <c r="X30" s="201">
        <f>+pronostico!D29*2%</f>
        <v>500</v>
      </c>
      <c r="Y30" s="206">
        <f t="shared" si="12"/>
        <v>2050000</v>
      </c>
      <c r="Z30" s="206">
        <f t="shared" si="13"/>
        <v>820000</v>
      </c>
      <c r="AA30" s="207">
        <f>+pronostico!D29*2%</f>
        <v>500</v>
      </c>
      <c r="AB30" s="208">
        <f t="shared" si="14"/>
        <v>2050000</v>
      </c>
      <c r="AC30" s="209">
        <f t="shared" si="15"/>
        <v>820000</v>
      </c>
      <c r="AD30" s="201">
        <f>+pronostico!I29*10%</f>
        <v>2500</v>
      </c>
      <c r="AE30" s="204">
        <f t="shared" si="16"/>
        <v>10250000</v>
      </c>
      <c r="AF30" s="205">
        <f t="shared" si="17"/>
        <v>4100000</v>
      </c>
    </row>
    <row r="31" spans="1:32" ht="15.75" x14ac:dyDescent="0.25">
      <c r="A31" s="109">
        <f>+A30+1</f>
        <v>100028</v>
      </c>
      <c r="B31" s="119" t="s">
        <v>86</v>
      </c>
      <c r="C31" s="244" t="s">
        <v>88</v>
      </c>
      <c r="D31" s="245">
        <v>2350</v>
      </c>
      <c r="E31" s="104">
        <f t="shared" si="18"/>
        <v>0.5</v>
      </c>
      <c r="F31" s="105">
        <f>+pronostico!D30*50%</f>
        <v>12500</v>
      </c>
      <c r="G31" s="106">
        <f t="shared" si="0"/>
        <v>29375000</v>
      </c>
      <c r="H31" s="107">
        <f t="shared" si="1"/>
        <v>14687500</v>
      </c>
      <c r="I31" s="106">
        <f t="shared" si="22"/>
        <v>7500</v>
      </c>
      <c r="J31" s="108">
        <f t="shared" si="3"/>
        <v>3750</v>
      </c>
      <c r="K31" s="195">
        <f t="shared" si="4"/>
        <v>1250</v>
      </c>
      <c r="L31" s="196" t="s">
        <v>21</v>
      </c>
      <c r="M31" s="197">
        <f>+pronostico!D30*20%</f>
        <v>5000</v>
      </c>
      <c r="N31" s="198">
        <f t="shared" si="6"/>
        <v>11750000</v>
      </c>
      <c r="O31" s="199">
        <f t="shared" si="7"/>
        <v>5875000</v>
      </c>
      <c r="P31" s="198">
        <f t="shared" si="19"/>
        <v>2500</v>
      </c>
      <c r="Q31" s="200">
        <f t="shared" si="20"/>
        <v>2500</v>
      </c>
      <c r="R31" s="201">
        <f>+pronostico!D30*8%</f>
        <v>2000</v>
      </c>
      <c r="S31" s="202">
        <f t="shared" si="8"/>
        <v>4700000</v>
      </c>
      <c r="T31" s="203">
        <f t="shared" si="9"/>
        <v>2350000</v>
      </c>
      <c r="U31" s="201">
        <f>+pronostico!D30*8%</f>
        <v>2000</v>
      </c>
      <c r="V31" s="204">
        <f t="shared" si="10"/>
        <v>4700000</v>
      </c>
      <c r="W31" s="205">
        <f t="shared" si="11"/>
        <v>2350000</v>
      </c>
      <c r="X31" s="201">
        <f>+pronostico!D30*2%</f>
        <v>500</v>
      </c>
      <c r="Y31" s="206">
        <f t="shared" si="12"/>
        <v>1175000</v>
      </c>
      <c r="Z31" s="206">
        <f t="shared" si="13"/>
        <v>587500</v>
      </c>
      <c r="AA31" s="207">
        <f>+pronostico!D30*2%</f>
        <v>500</v>
      </c>
      <c r="AB31" s="208">
        <f t="shared" si="14"/>
        <v>1175000</v>
      </c>
      <c r="AC31" s="209">
        <f t="shared" si="15"/>
        <v>587500</v>
      </c>
      <c r="AD31" s="201">
        <f>+pronostico!I30*10%</f>
        <v>2500</v>
      </c>
      <c r="AE31" s="204">
        <f t="shared" si="16"/>
        <v>5875000</v>
      </c>
      <c r="AF31" s="205">
        <f t="shared" si="17"/>
        <v>2937500</v>
      </c>
    </row>
    <row r="32" spans="1:32" ht="15.75" x14ac:dyDescent="0.25">
      <c r="A32" s="109">
        <f t="shared" si="21"/>
        <v>100029</v>
      </c>
      <c r="B32" s="119" t="s">
        <v>89</v>
      </c>
      <c r="C32" s="244" t="s">
        <v>88</v>
      </c>
      <c r="D32" s="245">
        <v>3000</v>
      </c>
      <c r="E32" s="104">
        <f t="shared" si="18"/>
        <v>0.5</v>
      </c>
      <c r="F32" s="105">
        <f>+pronostico!D31*50%</f>
        <v>10000</v>
      </c>
      <c r="G32" s="106">
        <f t="shared" si="0"/>
        <v>30000000</v>
      </c>
      <c r="H32" s="107">
        <f t="shared" si="1"/>
        <v>15000000</v>
      </c>
      <c r="I32" s="106">
        <f t="shared" si="22"/>
        <v>6000</v>
      </c>
      <c r="J32" s="108">
        <f t="shared" si="3"/>
        <v>3000</v>
      </c>
      <c r="K32" s="195">
        <f t="shared" si="4"/>
        <v>1000</v>
      </c>
      <c r="L32" s="196" t="s">
        <v>21</v>
      </c>
      <c r="M32" s="197">
        <f>+pronostico!D31*20%</f>
        <v>4000</v>
      </c>
      <c r="N32" s="198">
        <f t="shared" si="6"/>
        <v>12000000</v>
      </c>
      <c r="O32" s="199">
        <f t="shared" si="7"/>
        <v>6000000</v>
      </c>
      <c r="P32" s="198">
        <f t="shared" si="19"/>
        <v>2000</v>
      </c>
      <c r="Q32" s="200">
        <f t="shared" si="20"/>
        <v>2000</v>
      </c>
      <c r="R32" s="201">
        <f>+pronostico!D31*8%</f>
        <v>1600</v>
      </c>
      <c r="S32" s="202">
        <f t="shared" si="8"/>
        <v>4800000</v>
      </c>
      <c r="T32" s="203">
        <f t="shared" si="9"/>
        <v>2400000</v>
      </c>
      <c r="U32" s="201">
        <f>+pronostico!D31*8%</f>
        <v>1600</v>
      </c>
      <c r="V32" s="204">
        <f t="shared" si="10"/>
        <v>4800000</v>
      </c>
      <c r="W32" s="205">
        <f t="shared" si="11"/>
        <v>2400000</v>
      </c>
      <c r="X32" s="201">
        <f>+pronostico!D31*2%</f>
        <v>400</v>
      </c>
      <c r="Y32" s="206">
        <f t="shared" si="12"/>
        <v>1200000</v>
      </c>
      <c r="Z32" s="206">
        <f t="shared" si="13"/>
        <v>600000</v>
      </c>
      <c r="AA32" s="207">
        <f>+pronostico!D31*2%</f>
        <v>400</v>
      </c>
      <c r="AB32" s="208">
        <f t="shared" si="14"/>
        <v>1200000</v>
      </c>
      <c r="AC32" s="209">
        <f t="shared" si="15"/>
        <v>600000</v>
      </c>
      <c r="AD32" s="201">
        <f>+pronostico!I31*10%</f>
        <v>2000</v>
      </c>
      <c r="AE32" s="204">
        <f t="shared" si="16"/>
        <v>6000000</v>
      </c>
      <c r="AF32" s="205">
        <f t="shared" si="17"/>
        <v>3000000</v>
      </c>
    </row>
    <row r="33" spans="1:32" ht="15.75" x14ac:dyDescent="0.25">
      <c r="A33" s="109">
        <f t="shared" si="21"/>
        <v>100030</v>
      </c>
      <c r="B33" s="119" t="s">
        <v>91</v>
      </c>
      <c r="C33" s="244" t="s">
        <v>88</v>
      </c>
      <c r="D33" s="245">
        <v>2300</v>
      </c>
      <c r="E33" s="104">
        <f t="shared" si="18"/>
        <v>0.5</v>
      </c>
      <c r="F33" s="105">
        <f>+pronostico!D32*50%</f>
        <v>7500</v>
      </c>
      <c r="G33" s="106">
        <f t="shared" si="0"/>
        <v>17250000</v>
      </c>
      <c r="H33" s="107">
        <f t="shared" si="1"/>
        <v>8625000</v>
      </c>
      <c r="I33" s="106">
        <f t="shared" si="22"/>
        <v>4500</v>
      </c>
      <c r="J33" s="108">
        <f t="shared" si="3"/>
        <v>2250</v>
      </c>
      <c r="K33" s="195">
        <f t="shared" si="4"/>
        <v>750</v>
      </c>
      <c r="L33" s="196" t="s">
        <v>21</v>
      </c>
      <c r="M33" s="197">
        <f>+pronostico!D32*20%</f>
        <v>3000</v>
      </c>
      <c r="N33" s="198">
        <f t="shared" si="6"/>
        <v>6900000</v>
      </c>
      <c r="O33" s="199">
        <f t="shared" si="7"/>
        <v>3450000</v>
      </c>
      <c r="P33" s="198">
        <f t="shared" si="19"/>
        <v>1500</v>
      </c>
      <c r="Q33" s="200">
        <f t="shared" si="20"/>
        <v>1500</v>
      </c>
      <c r="R33" s="201">
        <f>+pronostico!D32*8%</f>
        <v>1200</v>
      </c>
      <c r="S33" s="202">
        <f t="shared" si="8"/>
        <v>2760000</v>
      </c>
      <c r="T33" s="203">
        <f t="shared" si="9"/>
        <v>1380000</v>
      </c>
      <c r="U33" s="201">
        <f>+pronostico!D32*8%</f>
        <v>1200</v>
      </c>
      <c r="V33" s="204">
        <f t="shared" si="10"/>
        <v>2760000</v>
      </c>
      <c r="W33" s="205">
        <f t="shared" si="11"/>
        <v>1380000</v>
      </c>
      <c r="X33" s="201">
        <f>+pronostico!D32*2%</f>
        <v>300</v>
      </c>
      <c r="Y33" s="206">
        <f t="shared" si="12"/>
        <v>690000</v>
      </c>
      <c r="Z33" s="206">
        <f t="shared" si="13"/>
        <v>345000</v>
      </c>
      <c r="AA33" s="207">
        <f>+pronostico!D32*2%</f>
        <v>300</v>
      </c>
      <c r="AB33" s="208">
        <f t="shared" si="14"/>
        <v>690000</v>
      </c>
      <c r="AC33" s="209">
        <f t="shared" si="15"/>
        <v>345000</v>
      </c>
      <c r="AD33" s="201">
        <f>+pronostico!I32*10%</f>
        <v>1500</v>
      </c>
      <c r="AE33" s="204">
        <f t="shared" si="16"/>
        <v>3450000</v>
      </c>
      <c r="AF33" s="205">
        <f t="shared" si="17"/>
        <v>1725000</v>
      </c>
    </row>
    <row r="34" spans="1:32" ht="15.75" x14ac:dyDescent="0.25">
      <c r="A34" s="109">
        <f t="shared" si="21"/>
        <v>100031</v>
      </c>
      <c r="B34" s="119" t="s">
        <v>93</v>
      </c>
      <c r="C34" s="244" t="s">
        <v>88</v>
      </c>
      <c r="D34" s="245">
        <v>3800</v>
      </c>
      <c r="E34" s="104">
        <f t="shared" si="18"/>
        <v>0.4</v>
      </c>
      <c r="F34" s="105">
        <f>+pronostico!D33*50%</f>
        <v>10000</v>
      </c>
      <c r="G34" s="106">
        <f t="shared" si="0"/>
        <v>38000000</v>
      </c>
      <c r="H34" s="107">
        <f t="shared" si="1"/>
        <v>15200000</v>
      </c>
      <c r="I34" s="106">
        <f t="shared" si="22"/>
        <v>6000</v>
      </c>
      <c r="J34" s="108">
        <f t="shared" si="3"/>
        <v>3000</v>
      </c>
      <c r="K34" s="195">
        <f t="shared" si="4"/>
        <v>1000</v>
      </c>
      <c r="L34" s="196" t="s">
        <v>21</v>
      </c>
      <c r="M34" s="197">
        <f>+pronostico!D33*20%</f>
        <v>4000</v>
      </c>
      <c r="N34" s="198">
        <f t="shared" si="6"/>
        <v>15200000</v>
      </c>
      <c r="O34" s="199">
        <f t="shared" si="7"/>
        <v>6080000</v>
      </c>
      <c r="P34" s="198">
        <f t="shared" si="19"/>
        <v>2000</v>
      </c>
      <c r="Q34" s="200">
        <f t="shared" si="20"/>
        <v>2000</v>
      </c>
      <c r="R34" s="201">
        <f>+pronostico!D33*8%</f>
        <v>1600</v>
      </c>
      <c r="S34" s="202">
        <f t="shared" si="8"/>
        <v>6080000</v>
      </c>
      <c r="T34" s="203">
        <f t="shared" si="9"/>
        <v>2432000</v>
      </c>
      <c r="U34" s="201">
        <f>+pronostico!D33*8%</f>
        <v>1600</v>
      </c>
      <c r="V34" s="204">
        <f t="shared" si="10"/>
        <v>6080000</v>
      </c>
      <c r="W34" s="205">
        <f t="shared" si="11"/>
        <v>2432000</v>
      </c>
      <c r="X34" s="201">
        <f>+pronostico!D33*2%</f>
        <v>400</v>
      </c>
      <c r="Y34" s="206">
        <f t="shared" si="12"/>
        <v>1520000</v>
      </c>
      <c r="Z34" s="206">
        <f t="shared" si="13"/>
        <v>608000</v>
      </c>
      <c r="AA34" s="207">
        <f>+pronostico!D33*2%</f>
        <v>400</v>
      </c>
      <c r="AB34" s="208">
        <f t="shared" si="14"/>
        <v>1520000</v>
      </c>
      <c r="AC34" s="209">
        <f t="shared" si="15"/>
        <v>608000</v>
      </c>
      <c r="AD34" s="201">
        <f>+pronostico!I33*10%</f>
        <v>2000</v>
      </c>
      <c r="AE34" s="204">
        <f t="shared" si="16"/>
        <v>7600000</v>
      </c>
      <c r="AF34" s="205">
        <f t="shared" si="17"/>
        <v>3040000</v>
      </c>
    </row>
    <row r="35" spans="1:32" ht="15.75" x14ac:dyDescent="0.25">
      <c r="A35" s="109">
        <f t="shared" si="21"/>
        <v>100032</v>
      </c>
      <c r="B35" s="119" t="s">
        <v>95</v>
      </c>
      <c r="C35" s="244" t="s">
        <v>88</v>
      </c>
      <c r="D35" s="245">
        <v>4000</v>
      </c>
      <c r="E35" s="104">
        <f t="shared" si="18"/>
        <v>0.4</v>
      </c>
      <c r="F35" s="105">
        <f>+pronostico!D34*50%</f>
        <v>10000</v>
      </c>
      <c r="G35" s="106">
        <f t="shared" si="0"/>
        <v>40000000</v>
      </c>
      <c r="H35" s="107">
        <f t="shared" si="1"/>
        <v>16000000</v>
      </c>
      <c r="I35" s="106">
        <f t="shared" si="22"/>
        <v>6000</v>
      </c>
      <c r="J35" s="108">
        <f t="shared" si="3"/>
        <v>3000</v>
      </c>
      <c r="K35" s="195">
        <f t="shared" si="4"/>
        <v>1000</v>
      </c>
      <c r="L35" s="196" t="s">
        <v>21</v>
      </c>
      <c r="M35" s="197">
        <f>+pronostico!D34*20%</f>
        <v>4000</v>
      </c>
      <c r="N35" s="198">
        <f t="shared" si="6"/>
        <v>16000000</v>
      </c>
      <c r="O35" s="199">
        <f t="shared" si="7"/>
        <v>6400000</v>
      </c>
      <c r="P35" s="198">
        <f t="shared" si="19"/>
        <v>2000</v>
      </c>
      <c r="Q35" s="200">
        <f t="shared" si="20"/>
        <v>2000</v>
      </c>
      <c r="R35" s="201">
        <f>+pronostico!D34*8%</f>
        <v>1600</v>
      </c>
      <c r="S35" s="202">
        <f t="shared" si="8"/>
        <v>6400000</v>
      </c>
      <c r="T35" s="203">
        <f t="shared" si="9"/>
        <v>2560000</v>
      </c>
      <c r="U35" s="201">
        <f>+pronostico!D34*8%</f>
        <v>1600</v>
      </c>
      <c r="V35" s="204">
        <f t="shared" si="10"/>
        <v>6400000</v>
      </c>
      <c r="W35" s="205">
        <f t="shared" si="11"/>
        <v>2560000</v>
      </c>
      <c r="X35" s="201">
        <f>+pronostico!D34*2%</f>
        <v>400</v>
      </c>
      <c r="Y35" s="206">
        <f t="shared" si="12"/>
        <v>1600000</v>
      </c>
      <c r="Z35" s="206">
        <f t="shared" si="13"/>
        <v>640000</v>
      </c>
      <c r="AA35" s="207">
        <f>+pronostico!D34*2%</f>
        <v>400</v>
      </c>
      <c r="AB35" s="208">
        <f t="shared" si="14"/>
        <v>1600000</v>
      </c>
      <c r="AC35" s="209">
        <f t="shared" si="15"/>
        <v>640000</v>
      </c>
      <c r="AD35" s="201">
        <f>+pronostico!I34*10%</f>
        <v>2000</v>
      </c>
      <c r="AE35" s="204">
        <f t="shared" si="16"/>
        <v>8000000</v>
      </c>
      <c r="AF35" s="205">
        <f t="shared" si="17"/>
        <v>3200000</v>
      </c>
    </row>
    <row r="36" spans="1:32" ht="15.75" x14ac:dyDescent="0.25">
      <c r="A36" s="109">
        <f>+A35+1</f>
        <v>100033</v>
      </c>
      <c r="B36" s="120" t="s">
        <v>22</v>
      </c>
      <c r="C36" s="244" t="s">
        <v>97</v>
      </c>
      <c r="D36" s="245">
        <v>1910</v>
      </c>
      <c r="E36" s="104">
        <f t="shared" si="18"/>
        <v>0.5</v>
      </c>
      <c r="F36" s="105">
        <f>+pronostico!D35*50%</f>
        <v>126900</v>
      </c>
      <c r="G36" s="106">
        <f t="shared" si="0"/>
        <v>242379000</v>
      </c>
      <c r="H36" s="107">
        <f t="shared" si="1"/>
        <v>121189500</v>
      </c>
      <c r="I36" s="106">
        <f t="shared" si="22"/>
        <v>76140</v>
      </c>
      <c r="J36" s="108">
        <f t="shared" si="3"/>
        <v>38070</v>
      </c>
      <c r="K36" s="195">
        <f t="shared" si="4"/>
        <v>12690</v>
      </c>
      <c r="L36" s="196" t="s">
        <v>21</v>
      </c>
      <c r="M36" s="197">
        <f>+pronostico!D35*20%</f>
        <v>50760</v>
      </c>
      <c r="N36" s="198">
        <f t="shared" si="6"/>
        <v>96951600</v>
      </c>
      <c r="O36" s="199">
        <f t="shared" si="7"/>
        <v>48475800</v>
      </c>
      <c r="P36" s="198">
        <f t="shared" si="19"/>
        <v>25380</v>
      </c>
      <c r="Q36" s="200">
        <f t="shared" si="20"/>
        <v>25380</v>
      </c>
      <c r="R36" s="201">
        <f>+pronostico!D35*8%</f>
        <v>20304</v>
      </c>
      <c r="S36" s="202">
        <f t="shared" si="8"/>
        <v>38780640</v>
      </c>
      <c r="T36" s="203">
        <f t="shared" si="9"/>
        <v>19390320</v>
      </c>
      <c r="U36" s="201">
        <f>+pronostico!D35*8%</f>
        <v>20304</v>
      </c>
      <c r="V36" s="204">
        <f t="shared" ref="V36:V43" si="23">U36*D36</f>
        <v>38780640</v>
      </c>
      <c r="W36" s="205">
        <f t="shared" ref="W36:W51" si="24">V36*E36</f>
        <v>19390320</v>
      </c>
      <c r="X36" s="201">
        <f>+pronostico!D35*2%</f>
        <v>5076</v>
      </c>
      <c r="Y36" s="206">
        <f t="shared" si="12"/>
        <v>9695160</v>
      </c>
      <c r="Z36" s="206">
        <f t="shared" si="13"/>
        <v>4847580</v>
      </c>
      <c r="AA36" s="207">
        <f>+pronostico!D35*2%</f>
        <v>5076</v>
      </c>
      <c r="AB36" s="208">
        <f t="shared" si="14"/>
        <v>9695160</v>
      </c>
      <c r="AC36" s="209">
        <f t="shared" si="15"/>
        <v>4847580</v>
      </c>
      <c r="AD36" s="201">
        <f>+pronostico!I35*10%</f>
        <v>30667.9</v>
      </c>
      <c r="AE36" s="204">
        <f t="shared" si="16"/>
        <v>58575689</v>
      </c>
      <c r="AF36" s="205">
        <f t="shared" si="17"/>
        <v>29287844.5</v>
      </c>
    </row>
    <row r="37" spans="1:32" ht="15.75" x14ac:dyDescent="0.25">
      <c r="A37" s="109">
        <f t="shared" si="21"/>
        <v>100034</v>
      </c>
      <c r="B37" s="121" t="s">
        <v>23</v>
      </c>
      <c r="C37" s="244" t="s">
        <v>97</v>
      </c>
      <c r="D37" s="245">
        <v>2170</v>
      </c>
      <c r="E37" s="104">
        <f t="shared" si="18"/>
        <v>0.5</v>
      </c>
      <c r="F37" s="105">
        <f>+pronostico!D36*50%</f>
        <v>118395</v>
      </c>
      <c r="G37" s="106">
        <f t="shared" si="0"/>
        <v>256917150</v>
      </c>
      <c r="H37" s="107">
        <f t="shared" si="1"/>
        <v>128458575</v>
      </c>
      <c r="I37" s="106">
        <f t="shared" si="22"/>
        <v>71037</v>
      </c>
      <c r="J37" s="108">
        <f t="shared" si="3"/>
        <v>35518.5</v>
      </c>
      <c r="K37" s="195">
        <f t="shared" si="4"/>
        <v>11839.5</v>
      </c>
      <c r="L37" s="196" t="s">
        <v>21</v>
      </c>
      <c r="M37" s="197">
        <f>+pronostico!D36*20%</f>
        <v>47358</v>
      </c>
      <c r="N37" s="198">
        <f t="shared" si="6"/>
        <v>102766860</v>
      </c>
      <c r="O37" s="199">
        <f t="shared" si="7"/>
        <v>51383430</v>
      </c>
      <c r="P37" s="198">
        <f t="shared" si="19"/>
        <v>23679</v>
      </c>
      <c r="Q37" s="200">
        <f t="shared" si="20"/>
        <v>23679</v>
      </c>
      <c r="R37" s="201">
        <f>+pronostico!D36*8%</f>
        <v>18943.2</v>
      </c>
      <c r="S37" s="202">
        <f t="shared" si="8"/>
        <v>41106744</v>
      </c>
      <c r="T37" s="203">
        <f t="shared" si="9"/>
        <v>20553372</v>
      </c>
      <c r="U37" s="201">
        <f>+pronostico!D36*8%</f>
        <v>18943.2</v>
      </c>
      <c r="V37" s="204">
        <f t="shared" si="23"/>
        <v>41106744</v>
      </c>
      <c r="W37" s="205">
        <f t="shared" si="24"/>
        <v>20553372</v>
      </c>
      <c r="X37" s="201">
        <f>+pronostico!D36*2%</f>
        <v>4735.8</v>
      </c>
      <c r="Y37" s="206">
        <f t="shared" si="12"/>
        <v>10276686</v>
      </c>
      <c r="Z37" s="206">
        <f t="shared" si="13"/>
        <v>5138343</v>
      </c>
      <c r="AA37" s="207">
        <f>+pronostico!D36*2%</f>
        <v>4735.8</v>
      </c>
      <c r="AB37" s="208">
        <f t="shared" si="14"/>
        <v>10276686</v>
      </c>
      <c r="AC37" s="209">
        <f t="shared" si="15"/>
        <v>5138343</v>
      </c>
      <c r="AD37" s="201">
        <f>+pronostico!I36*10%</f>
        <v>28612.5</v>
      </c>
      <c r="AE37" s="204">
        <f t="shared" si="16"/>
        <v>62089125</v>
      </c>
      <c r="AF37" s="205">
        <f t="shared" si="17"/>
        <v>31044562.5</v>
      </c>
    </row>
    <row r="38" spans="1:32" ht="15.75" x14ac:dyDescent="0.25">
      <c r="A38" s="109">
        <f t="shared" si="21"/>
        <v>100035</v>
      </c>
      <c r="B38" s="121" t="s">
        <v>24</v>
      </c>
      <c r="C38" s="244" t="s">
        <v>97</v>
      </c>
      <c r="D38" s="245">
        <v>1670</v>
      </c>
      <c r="E38" s="104">
        <f t="shared" si="18"/>
        <v>0.5</v>
      </c>
      <c r="F38" s="105">
        <f>+pronostico!D37*50%</f>
        <v>94750</v>
      </c>
      <c r="G38" s="106">
        <f t="shared" si="0"/>
        <v>158232500</v>
      </c>
      <c r="H38" s="107">
        <f t="shared" si="1"/>
        <v>79116250</v>
      </c>
      <c r="I38" s="106">
        <f t="shared" si="22"/>
        <v>56850</v>
      </c>
      <c r="J38" s="108">
        <f t="shared" si="3"/>
        <v>28425</v>
      </c>
      <c r="K38" s="195">
        <f t="shared" si="4"/>
        <v>9475</v>
      </c>
      <c r="L38" s="196" t="s">
        <v>21</v>
      </c>
      <c r="M38" s="197">
        <f>+pronostico!D37*20%</f>
        <v>37900</v>
      </c>
      <c r="N38" s="198">
        <f t="shared" si="6"/>
        <v>63293000</v>
      </c>
      <c r="O38" s="199">
        <f t="shared" si="7"/>
        <v>31646500</v>
      </c>
      <c r="P38" s="198">
        <f t="shared" si="19"/>
        <v>18950</v>
      </c>
      <c r="Q38" s="200">
        <f t="shared" si="20"/>
        <v>18950</v>
      </c>
      <c r="R38" s="201">
        <f>+pronostico!D37*8%</f>
        <v>15160</v>
      </c>
      <c r="S38" s="202">
        <f t="shared" si="8"/>
        <v>25317200</v>
      </c>
      <c r="T38" s="203">
        <f t="shared" si="9"/>
        <v>12658600</v>
      </c>
      <c r="U38" s="201">
        <f>+pronostico!D37*8%</f>
        <v>15160</v>
      </c>
      <c r="V38" s="204">
        <f t="shared" si="23"/>
        <v>25317200</v>
      </c>
      <c r="W38" s="205">
        <f t="shared" si="24"/>
        <v>12658600</v>
      </c>
      <c r="X38" s="201">
        <f>+pronostico!D37*2%</f>
        <v>3790</v>
      </c>
      <c r="Y38" s="206">
        <f t="shared" si="12"/>
        <v>6329300</v>
      </c>
      <c r="Z38" s="206">
        <f t="shared" si="13"/>
        <v>3164650</v>
      </c>
      <c r="AA38" s="207">
        <f>+pronostico!D37*2%</f>
        <v>3790</v>
      </c>
      <c r="AB38" s="208">
        <f t="shared" si="14"/>
        <v>6329300</v>
      </c>
      <c r="AC38" s="209">
        <f t="shared" si="15"/>
        <v>3164650</v>
      </c>
      <c r="AD38" s="201">
        <f>+pronostico!I37*10%</f>
        <v>22898.2</v>
      </c>
      <c r="AE38" s="204">
        <f t="shared" si="16"/>
        <v>38239994</v>
      </c>
      <c r="AF38" s="205">
        <f t="shared" si="17"/>
        <v>19119997</v>
      </c>
    </row>
    <row r="39" spans="1:32" ht="15.75" x14ac:dyDescent="0.25">
      <c r="A39" s="109">
        <f t="shared" si="21"/>
        <v>100036</v>
      </c>
      <c r="B39" s="121" t="s">
        <v>25</v>
      </c>
      <c r="C39" s="244" t="s">
        <v>97</v>
      </c>
      <c r="D39" s="245">
        <v>1020</v>
      </c>
      <c r="E39" s="104">
        <f t="shared" si="18"/>
        <v>0.5</v>
      </c>
      <c r="F39" s="105">
        <f>+pronostico!D38*50%</f>
        <v>46800</v>
      </c>
      <c r="G39" s="106">
        <f t="shared" si="0"/>
        <v>47736000</v>
      </c>
      <c r="H39" s="107">
        <f t="shared" si="1"/>
        <v>23868000</v>
      </c>
      <c r="I39" s="106">
        <f t="shared" si="22"/>
        <v>28080</v>
      </c>
      <c r="J39" s="108">
        <f t="shared" si="3"/>
        <v>14040</v>
      </c>
      <c r="K39" s="195">
        <f t="shared" si="4"/>
        <v>4680</v>
      </c>
      <c r="L39" s="196" t="s">
        <v>21</v>
      </c>
      <c r="M39" s="197">
        <f>+pronostico!D38*20%</f>
        <v>18720</v>
      </c>
      <c r="N39" s="198">
        <f t="shared" si="6"/>
        <v>19094400</v>
      </c>
      <c r="O39" s="199">
        <f t="shared" si="7"/>
        <v>9547200</v>
      </c>
      <c r="P39" s="198">
        <f t="shared" si="19"/>
        <v>9360</v>
      </c>
      <c r="Q39" s="200">
        <f t="shared" si="20"/>
        <v>9360</v>
      </c>
      <c r="R39" s="201">
        <f>+pronostico!D38*8%</f>
        <v>7488</v>
      </c>
      <c r="S39" s="202">
        <f t="shared" si="8"/>
        <v>7637760</v>
      </c>
      <c r="T39" s="203">
        <f t="shared" si="9"/>
        <v>3818880</v>
      </c>
      <c r="U39" s="201">
        <f>+pronostico!D38*8%</f>
        <v>7488</v>
      </c>
      <c r="V39" s="204">
        <f t="shared" si="23"/>
        <v>7637760</v>
      </c>
      <c r="W39" s="205">
        <f t="shared" si="24"/>
        <v>3818880</v>
      </c>
      <c r="X39" s="201">
        <f>+pronostico!D38*2%</f>
        <v>1872</v>
      </c>
      <c r="Y39" s="206">
        <f t="shared" si="12"/>
        <v>1909440</v>
      </c>
      <c r="Z39" s="206">
        <f t="shared" si="13"/>
        <v>954720</v>
      </c>
      <c r="AA39" s="207">
        <f>+pronostico!D38*2%</f>
        <v>1872</v>
      </c>
      <c r="AB39" s="208">
        <f t="shared" si="14"/>
        <v>1909440</v>
      </c>
      <c r="AC39" s="209">
        <f t="shared" si="15"/>
        <v>954720</v>
      </c>
      <c r="AD39" s="201">
        <f>+pronostico!I38*10%</f>
        <v>11310.1</v>
      </c>
      <c r="AE39" s="204">
        <f t="shared" si="16"/>
        <v>11536302</v>
      </c>
      <c r="AF39" s="205">
        <f t="shared" si="17"/>
        <v>5768151</v>
      </c>
    </row>
    <row r="40" spans="1:32" ht="15.75" x14ac:dyDescent="0.25">
      <c r="A40" s="109">
        <f t="shared" si="21"/>
        <v>100037</v>
      </c>
      <c r="B40" s="121" t="s">
        <v>26</v>
      </c>
      <c r="C40" s="244" t="s">
        <v>97</v>
      </c>
      <c r="D40" s="245">
        <v>1430</v>
      </c>
      <c r="E40" s="104">
        <f t="shared" si="18"/>
        <v>0.5</v>
      </c>
      <c r="F40" s="105">
        <f>+pronostico!D39*50%</f>
        <v>51770</v>
      </c>
      <c r="G40" s="106">
        <f t="shared" si="0"/>
        <v>74031100</v>
      </c>
      <c r="H40" s="107">
        <f t="shared" si="1"/>
        <v>37015550</v>
      </c>
      <c r="I40" s="106">
        <f t="shared" si="22"/>
        <v>31062</v>
      </c>
      <c r="J40" s="108">
        <f t="shared" si="3"/>
        <v>15531</v>
      </c>
      <c r="K40" s="195">
        <f t="shared" si="4"/>
        <v>5177</v>
      </c>
      <c r="L40" s="196" t="s">
        <v>21</v>
      </c>
      <c r="M40" s="197">
        <f>+pronostico!D39*20%</f>
        <v>20708</v>
      </c>
      <c r="N40" s="198">
        <f t="shared" si="6"/>
        <v>29612440</v>
      </c>
      <c r="O40" s="199">
        <f t="shared" si="7"/>
        <v>14806220</v>
      </c>
      <c r="P40" s="198">
        <f t="shared" si="19"/>
        <v>10354</v>
      </c>
      <c r="Q40" s="200">
        <f t="shared" si="20"/>
        <v>10354</v>
      </c>
      <c r="R40" s="201">
        <f>+pronostico!D39*8%</f>
        <v>8283.2000000000007</v>
      </c>
      <c r="S40" s="202">
        <f t="shared" si="8"/>
        <v>11844976.000000002</v>
      </c>
      <c r="T40" s="203">
        <f t="shared" si="9"/>
        <v>5922488.0000000009</v>
      </c>
      <c r="U40" s="201">
        <f>+pronostico!D39*8%</f>
        <v>8283.2000000000007</v>
      </c>
      <c r="V40" s="204">
        <f t="shared" si="23"/>
        <v>11844976.000000002</v>
      </c>
      <c r="W40" s="205">
        <f t="shared" si="24"/>
        <v>5922488.0000000009</v>
      </c>
      <c r="X40" s="201">
        <f>+pronostico!D39*2%</f>
        <v>2070.8000000000002</v>
      </c>
      <c r="Y40" s="206">
        <f t="shared" si="12"/>
        <v>2961244.0000000005</v>
      </c>
      <c r="Z40" s="206">
        <f t="shared" si="13"/>
        <v>1480622.0000000002</v>
      </c>
      <c r="AA40" s="207">
        <f>+pronostico!D39*2%</f>
        <v>2070.8000000000002</v>
      </c>
      <c r="AB40" s="208">
        <f t="shared" si="14"/>
        <v>2961244.0000000005</v>
      </c>
      <c r="AC40" s="209">
        <f t="shared" si="15"/>
        <v>1480622.0000000002</v>
      </c>
      <c r="AD40" s="201">
        <f>+pronostico!I39*10%</f>
        <v>12511.2</v>
      </c>
      <c r="AE40" s="204">
        <f t="shared" si="16"/>
        <v>17891016</v>
      </c>
      <c r="AF40" s="205">
        <f t="shared" si="17"/>
        <v>8945508</v>
      </c>
    </row>
    <row r="41" spans="1:32" ht="15.75" x14ac:dyDescent="0.25">
      <c r="A41" s="109">
        <f t="shared" si="21"/>
        <v>100038</v>
      </c>
      <c r="B41" s="121" t="s">
        <v>27</v>
      </c>
      <c r="C41" s="244" t="s">
        <v>97</v>
      </c>
      <c r="D41" s="245">
        <v>13260</v>
      </c>
      <c r="E41" s="104">
        <f t="shared" si="18"/>
        <v>0.4</v>
      </c>
      <c r="F41" s="105">
        <f>+pronostico!D40*50%</f>
        <v>43115</v>
      </c>
      <c r="G41" s="106">
        <f t="shared" si="0"/>
        <v>571704900</v>
      </c>
      <c r="H41" s="107">
        <f t="shared" si="1"/>
        <v>228681960</v>
      </c>
      <c r="I41" s="106">
        <f t="shared" si="22"/>
        <v>25869</v>
      </c>
      <c r="J41" s="108">
        <f t="shared" si="3"/>
        <v>12934.5</v>
      </c>
      <c r="K41" s="195">
        <f t="shared" si="4"/>
        <v>4311.5</v>
      </c>
      <c r="L41" s="196" t="s">
        <v>21</v>
      </c>
      <c r="M41" s="197">
        <f>+pronostico!D40*20%</f>
        <v>17246</v>
      </c>
      <c r="N41" s="198">
        <f t="shared" si="6"/>
        <v>228681960</v>
      </c>
      <c r="O41" s="199">
        <f t="shared" si="7"/>
        <v>91472784</v>
      </c>
      <c r="P41" s="198">
        <f t="shared" si="19"/>
        <v>8623</v>
      </c>
      <c r="Q41" s="200">
        <f t="shared" si="20"/>
        <v>8623</v>
      </c>
      <c r="R41" s="201">
        <f>+pronostico!D40*8%</f>
        <v>6898.4000000000005</v>
      </c>
      <c r="S41" s="202">
        <f t="shared" si="8"/>
        <v>91472784</v>
      </c>
      <c r="T41" s="203">
        <f t="shared" si="9"/>
        <v>36589113.600000001</v>
      </c>
      <c r="U41" s="201">
        <f>+pronostico!D40*8%</f>
        <v>6898.4000000000005</v>
      </c>
      <c r="V41" s="204">
        <f t="shared" si="23"/>
        <v>91472784</v>
      </c>
      <c r="W41" s="205">
        <f t="shared" si="24"/>
        <v>36589113.600000001</v>
      </c>
      <c r="X41" s="201">
        <f>+pronostico!D40*2%</f>
        <v>1724.6000000000001</v>
      </c>
      <c r="Y41" s="206">
        <f t="shared" si="12"/>
        <v>22868196</v>
      </c>
      <c r="Z41" s="206">
        <f t="shared" si="13"/>
        <v>9147278.4000000004</v>
      </c>
      <c r="AA41" s="207">
        <f>+pronostico!D40*2%</f>
        <v>1724.6000000000001</v>
      </c>
      <c r="AB41" s="208">
        <f t="shared" si="14"/>
        <v>22868196</v>
      </c>
      <c r="AC41" s="209">
        <f t="shared" si="15"/>
        <v>9147278.4000000004</v>
      </c>
      <c r="AD41" s="201">
        <f>+pronostico!I40*10%</f>
        <v>10419.6</v>
      </c>
      <c r="AE41" s="204">
        <f t="shared" si="16"/>
        <v>138163896</v>
      </c>
      <c r="AF41" s="205">
        <f t="shared" si="17"/>
        <v>55265558.400000006</v>
      </c>
    </row>
    <row r="42" spans="1:32" ht="15.75" x14ac:dyDescent="0.25">
      <c r="A42" s="109">
        <f t="shared" si="21"/>
        <v>100039</v>
      </c>
      <c r="B42" s="121" t="s">
        <v>28</v>
      </c>
      <c r="C42" s="244" t="s">
        <v>97</v>
      </c>
      <c r="D42" s="245">
        <v>2840</v>
      </c>
      <c r="E42" s="104">
        <f t="shared" si="18"/>
        <v>0.5</v>
      </c>
      <c r="F42" s="105">
        <f>+pronostico!D41*50%</f>
        <v>23950</v>
      </c>
      <c r="G42" s="106">
        <f t="shared" si="0"/>
        <v>68018000</v>
      </c>
      <c r="H42" s="107">
        <f t="shared" si="1"/>
        <v>34009000</v>
      </c>
      <c r="I42" s="106">
        <f t="shared" si="22"/>
        <v>14370</v>
      </c>
      <c r="J42" s="108">
        <f t="shared" si="3"/>
        <v>7185</v>
      </c>
      <c r="K42" s="195">
        <f t="shared" si="4"/>
        <v>2395</v>
      </c>
      <c r="L42" s="196" t="s">
        <v>21</v>
      </c>
      <c r="M42" s="197">
        <f>+pronostico!D41*20%</f>
        <v>9580</v>
      </c>
      <c r="N42" s="198">
        <f t="shared" si="6"/>
        <v>27207200</v>
      </c>
      <c r="O42" s="199">
        <f t="shared" si="7"/>
        <v>13603600</v>
      </c>
      <c r="P42" s="198">
        <f t="shared" si="19"/>
        <v>4790</v>
      </c>
      <c r="Q42" s="200">
        <f t="shared" si="20"/>
        <v>4790</v>
      </c>
      <c r="R42" s="201">
        <f>+pronostico!D41*8%</f>
        <v>3832</v>
      </c>
      <c r="S42" s="202">
        <f t="shared" si="8"/>
        <v>10882880</v>
      </c>
      <c r="T42" s="203">
        <f t="shared" si="9"/>
        <v>5441440</v>
      </c>
      <c r="U42" s="201">
        <f>+pronostico!D41*8%</f>
        <v>3832</v>
      </c>
      <c r="V42" s="204">
        <f t="shared" si="23"/>
        <v>10882880</v>
      </c>
      <c r="W42" s="205">
        <f t="shared" si="24"/>
        <v>5441440</v>
      </c>
      <c r="X42" s="201">
        <f>+pronostico!D41*2%</f>
        <v>958</v>
      </c>
      <c r="Y42" s="206">
        <f t="shared" si="12"/>
        <v>2720720</v>
      </c>
      <c r="Z42" s="206">
        <f t="shared" si="13"/>
        <v>1360360</v>
      </c>
      <c r="AA42" s="207">
        <f>+pronostico!D41*2%</f>
        <v>958</v>
      </c>
      <c r="AB42" s="208">
        <f t="shared" si="14"/>
        <v>2720720</v>
      </c>
      <c r="AC42" s="209">
        <f t="shared" si="15"/>
        <v>1360360</v>
      </c>
      <c r="AD42" s="201">
        <f>+pronostico!I41*10%</f>
        <v>5788</v>
      </c>
      <c r="AE42" s="204">
        <f t="shared" si="16"/>
        <v>16437920</v>
      </c>
      <c r="AF42" s="205">
        <f t="shared" si="17"/>
        <v>8218960</v>
      </c>
    </row>
    <row r="43" spans="1:32" ht="15.75" x14ac:dyDescent="0.25">
      <c r="A43" s="109">
        <f t="shared" si="21"/>
        <v>100040</v>
      </c>
      <c r="B43" s="121" t="s">
        <v>29</v>
      </c>
      <c r="C43" s="244" t="s">
        <v>97</v>
      </c>
      <c r="D43" s="245">
        <v>3800</v>
      </c>
      <c r="E43" s="104">
        <f t="shared" si="18"/>
        <v>0.4</v>
      </c>
      <c r="F43" s="105">
        <f>+pronostico!D42*50%</f>
        <v>21605</v>
      </c>
      <c r="G43" s="106">
        <f t="shared" si="0"/>
        <v>82099000</v>
      </c>
      <c r="H43" s="107">
        <f t="shared" si="1"/>
        <v>32839600</v>
      </c>
      <c r="I43" s="106">
        <f t="shared" si="22"/>
        <v>12963</v>
      </c>
      <c r="J43" s="108">
        <f t="shared" si="3"/>
        <v>6481.5</v>
      </c>
      <c r="K43" s="195">
        <f t="shared" si="4"/>
        <v>2160.5</v>
      </c>
      <c r="L43" s="196" t="s">
        <v>21</v>
      </c>
      <c r="M43" s="197">
        <f>+pronostico!D42*20%</f>
        <v>8642</v>
      </c>
      <c r="N43" s="198">
        <f t="shared" si="6"/>
        <v>32839600</v>
      </c>
      <c r="O43" s="199">
        <f t="shared" si="7"/>
        <v>13135840</v>
      </c>
      <c r="P43" s="198">
        <f t="shared" si="19"/>
        <v>4321</v>
      </c>
      <c r="Q43" s="200">
        <f t="shared" si="20"/>
        <v>4321</v>
      </c>
      <c r="R43" s="201">
        <f>+pronostico!D42*8%</f>
        <v>3456.8</v>
      </c>
      <c r="S43" s="202">
        <f t="shared" si="8"/>
        <v>13135840</v>
      </c>
      <c r="T43" s="203">
        <f t="shared" si="9"/>
        <v>5254336</v>
      </c>
      <c r="U43" s="201">
        <f>+pronostico!D42*8%</f>
        <v>3456.8</v>
      </c>
      <c r="V43" s="204">
        <f t="shared" si="23"/>
        <v>13135840</v>
      </c>
      <c r="W43" s="205">
        <f t="shared" si="24"/>
        <v>5254336</v>
      </c>
      <c r="X43" s="201">
        <f>+pronostico!D42*2%</f>
        <v>864.2</v>
      </c>
      <c r="Y43" s="206">
        <f t="shared" si="12"/>
        <v>3283960</v>
      </c>
      <c r="Z43" s="206">
        <f t="shared" si="13"/>
        <v>1313584</v>
      </c>
      <c r="AA43" s="207">
        <f>+pronostico!D42*2%</f>
        <v>864.2</v>
      </c>
      <c r="AB43" s="208">
        <f t="shared" si="14"/>
        <v>3283960</v>
      </c>
      <c r="AC43" s="209">
        <f t="shared" si="15"/>
        <v>1313584</v>
      </c>
      <c r="AD43" s="201">
        <f>+pronostico!I42*10%</f>
        <v>5221.3</v>
      </c>
      <c r="AE43" s="204">
        <f t="shared" si="16"/>
        <v>19840940</v>
      </c>
      <c r="AF43" s="205">
        <f t="shared" si="17"/>
        <v>7936376</v>
      </c>
    </row>
    <row r="44" spans="1:32" ht="15.75" x14ac:dyDescent="0.25">
      <c r="A44" s="109">
        <f>+A43+1</f>
        <v>100041</v>
      </c>
      <c r="B44" s="121" t="s">
        <v>106</v>
      </c>
      <c r="C44" s="246" t="s">
        <v>108</v>
      </c>
      <c r="D44" s="247">
        <v>3440</v>
      </c>
      <c r="E44" s="104">
        <f t="shared" si="18"/>
        <v>0.5</v>
      </c>
      <c r="F44" s="105">
        <f>+pronostico!D43*50%</f>
        <v>25525.360300499251</v>
      </c>
      <c r="G44" s="106">
        <f t="shared" si="0"/>
        <v>87807239.43371743</v>
      </c>
      <c r="H44" s="107">
        <f t="shared" si="1"/>
        <v>43903619.716858715</v>
      </c>
      <c r="I44" s="106">
        <f t="shared" si="22"/>
        <v>15315.216180299551</v>
      </c>
      <c r="J44" s="108">
        <f t="shared" si="3"/>
        <v>7657.6080901497753</v>
      </c>
      <c r="K44" s="195">
        <f t="shared" si="4"/>
        <v>2552.5360300499251</v>
      </c>
      <c r="L44" s="196" t="s">
        <v>21</v>
      </c>
      <c r="M44" s="197">
        <f>+pronostico!D43*20%</f>
        <v>10210.1441201997</v>
      </c>
      <c r="N44" s="198">
        <f t="shared" si="6"/>
        <v>35122895.773486972</v>
      </c>
      <c r="O44" s="199">
        <f t="shared" si="7"/>
        <v>17561447.886743486</v>
      </c>
      <c r="P44" s="198">
        <f t="shared" si="19"/>
        <v>5105.0720600998502</v>
      </c>
      <c r="Q44" s="200">
        <f t="shared" si="20"/>
        <v>5105.0720600998502</v>
      </c>
      <c r="R44" s="201">
        <f>+pronostico!D43*8%</f>
        <v>4084.0576480798804</v>
      </c>
      <c r="S44" s="202">
        <f t="shared" si="8"/>
        <v>14049158.309394788</v>
      </c>
      <c r="T44" s="203">
        <f t="shared" si="9"/>
        <v>7024579.154697394</v>
      </c>
      <c r="U44" s="201">
        <f>+pronostico!D43*8%</f>
        <v>4084.0576480798804</v>
      </c>
      <c r="V44" s="204">
        <f t="shared" ref="V44:V51" si="25">U44*D44</f>
        <v>14049158.309394788</v>
      </c>
      <c r="W44" s="205">
        <f t="shared" si="24"/>
        <v>7024579.154697394</v>
      </c>
      <c r="X44" s="201">
        <f>+pronostico!D43*2%</f>
        <v>1021.0144120199701</v>
      </c>
      <c r="Y44" s="206">
        <f t="shared" si="12"/>
        <v>3512289.577348697</v>
      </c>
      <c r="Z44" s="206">
        <f t="shared" si="13"/>
        <v>1756144.7886743485</v>
      </c>
      <c r="AA44" s="207">
        <f>+pronostico!D43*2%</f>
        <v>1021.0144120199701</v>
      </c>
      <c r="AB44" s="208">
        <f t="shared" si="14"/>
        <v>3512289.577348697</v>
      </c>
      <c r="AC44" s="209">
        <f t="shared" si="15"/>
        <v>1756144.7886743485</v>
      </c>
      <c r="AD44" s="201">
        <f>+pronostico!I43*10%</f>
        <v>5163.4579105255161</v>
      </c>
      <c r="AE44" s="204">
        <f t="shared" si="16"/>
        <v>17762295.212207776</v>
      </c>
      <c r="AF44" s="205">
        <f t="shared" si="17"/>
        <v>8881147.6061038878</v>
      </c>
    </row>
    <row r="45" spans="1:32" ht="15.75" x14ac:dyDescent="0.25">
      <c r="A45" s="109">
        <f t="shared" si="21"/>
        <v>100042</v>
      </c>
      <c r="B45" s="121" t="s">
        <v>106</v>
      </c>
      <c r="C45" s="246" t="s">
        <v>108</v>
      </c>
      <c r="D45" s="247">
        <v>2060</v>
      </c>
      <c r="E45" s="104">
        <f t="shared" si="18"/>
        <v>0.5</v>
      </c>
      <c r="F45" s="105">
        <f>+pronostico!D44*50%</f>
        <v>29987.377011126388</v>
      </c>
      <c r="G45" s="106">
        <f t="shared" si="0"/>
        <v>61773996.64292036</v>
      </c>
      <c r="H45" s="107">
        <f t="shared" si="1"/>
        <v>30886998.32146018</v>
      </c>
      <c r="I45" s="106">
        <f t="shared" si="22"/>
        <v>17992.426206675831</v>
      </c>
      <c r="J45" s="108">
        <f t="shared" si="3"/>
        <v>8996.2131033379155</v>
      </c>
      <c r="K45" s="195">
        <f t="shared" si="4"/>
        <v>2998.7377011126391</v>
      </c>
      <c r="L45" s="196" t="s">
        <v>21</v>
      </c>
      <c r="M45" s="197">
        <f>+pronostico!D44*20%</f>
        <v>11994.950804450556</v>
      </c>
      <c r="N45" s="198">
        <f t="shared" si="6"/>
        <v>24709598.657168146</v>
      </c>
      <c r="O45" s="199">
        <f t="shared" si="7"/>
        <v>12354799.328584073</v>
      </c>
      <c r="P45" s="198">
        <f t="shared" si="19"/>
        <v>5997.4754022252782</v>
      </c>
      <c r="Q45" s="200">
        <f t="shared" si="20"/>
        <v>5997.4754022252782</v>
      </c>
      <c r="R45" s="201">
        <f>+pronostico!D44*8%</f>
        <v>4797.9803217802219</v>
      </c>
      <c r="S45" s="202">
        <f t="shared" si="8"/>
        <v>9883839.4628672563</v>
      </c>
      <c r="T45" s="203">
        <f t="shared" si="9"/>
        <v>4941919.7314336281</v>
      </c>
      <c r="U45" s="201">
        <f>+pronostico!D44*8%</f>
        <v>4797.9803217802219</v>
      </c>
      <c r="V45" s="204">
        <f t="shared" si="25"/>
        <v>9883839.4628672563</v>
      </c>
      <c r="W45" s="205">
        <f t="shared" si="24"/>
        <v>4941919.7314336281</v>
      </c>
      <c r="X45" s="201">
        <f>+pronostico!D44*2%</f>
        <v>1199.4950804450555</v>
      </c>
      <c r="Y45" s="206">
        <f t="shared" si="12"/>
        <v>2470959.8657168141</v>
      </c>
      <c r="Z45" s="206">
        <f t="shared" si="13"/>
        <v>1235479.932858407</v>
      </c>
      <c r="AA45" s="207">
        <f>+pronostico!D44*2%</f>
        <v>1199.4950804450555</v>
      </c>
      <c r="AB45" s="208">
        <f t="shared" si="14"/>
        <v>2470959.8657168141</v>
      </c>
      <c r="AC45" s="209">
        <f t="shared" si="15"/>
        <v>1235479.932858407</v>
      </c>
      <c r="AD45" s="201">
        <f>+pronostico!I44*10%</f>
        <v>6066.0675195633958</v>
      </c>
      <c r="AE45" s="204">
        <f t="shared" si="16"/>
        <v>12496099.090300595</v>
      </c>
      <c r="AF45" s="205">
        <f t="shared" si="17"/>
        <v>6248049.5451502977</v>
      </c>
    </row>
    <row r="46" spans="1:32" ht="15.75" x14ac:dyDescent="0.25">
      <c r="A46" s="109">
        <f t="shared" si="21"/>
        <v>100043</v>
      </c>
      <c r="B46" s="121" t="s">
        <v>112</v>
      </c>
      <c r="C46" s="246" t="s">
        <v>108</v>
      </c>
      <c r="D46" s="247">
        <v>2810</v>
      </c>
      <c r="E46" s="104">
        <f t="shared" si="18"/>
        <v>0.5</v>
      </c>
      <c r="F46" s="105">
        <f>+pronostico!D45*50%</f>
        <v>15420.204808784902</v>
      </c>
      <c r="G46" s="106">
        <f t="shared" si="0"/>
        <v>43330775.512685575</v>
      </c>
      <c r="H46" s="107">
        <f t="shared" si="1"/>
        <v>21665387.756342787</v>
      </c>
      <c r="I46" s="106">
        <f t="shared" si="22"/>
        <v>9252.122885270941</v>
      </c>
      <c r="J46" s="108">
        <f t="shared" si="3"/>
        <v>4626.0614426354705</v>
      </c>
      <c r="K46" s="195">
        <f t="shared" si="4"/>
        <v>1542.0204808784902</v>
      </c>
      <c r="L46" s="196" t="s">
        <v>21</v>
      </c>
      <c r="M46" s="197">
        <f>+pronostico!D45*20%</f>
        <v>6168.0819235139606</v>
      </c>
      <c r="N46" s="198">
        <f t="shared" si="6"/>
        <v>17332310.205074228</v>
      </c>
      <c r="O46" s="199">
        <f t="shared" si="7"/>
        <v>8666155.1025371142</v>
      </c>
      <c r="P46" s="198">
        <f t="shared" si="19"/>
        <v>3084.0409617569803</v>
      </c>
      <c r="Q46" s="200">
        <f t="shared" si="20"/>
        <v>3084.0409617569803</v>
      </c>
      <c r="R46" s="201">
        <f>+pronostico!D45*8%</f>
        <v>2467.2327694055843</v>
      </c>
      <c r="S46" s="202">
        <f t="shared" si="8"/>
        <v>6932924.0820296919</v>
      </c>
      <c r="T46" s="203">
        <f t="shared" si="9"/>
        <v>3466462.0410148459</v>
      </c>
      <c r="U46" s="201">
        <f>+pronostico!D45*8%</f>
        <v>2467.2327694055843</v>
      </c>
      <c r="V46" s="204">
        <f t="shared" si="25"/>
        <v>6932924.0820296919</v>
      </c>
      <c r="W46" s="205">
        <f t="shared" si="24"/>
        <v>3466462.0410148459</v>
      </c>
      <c r="X46" s="201">
        <f>+pronostico!D45*2%</f>
        <v>616.80819235139609</v>
      </c>
      <c r="Y46" s="206">
        <f t="shared" si="12"/>
        <v>1733231.020507423</v>
      </c>
      <c r="Z46" s="206">
        <f t="shared" si="13"/>
        <v>866615.51025371149</v>
      </c>
      <c r="AA46" s="207">
        <f>+pronostico!D45*2%</f>
        <v>616.80819235139609</v>
      </c>
      <c r="AB46" s="208">
        <f t="shared" si="14"/>
        <v>1733231.020507423</v>
      </c>
      <c r="AC46" s="209">
        <f t="shared" si="15"/>
        <v>866615.51025371149</v>
      </c>
      <c r="AD46" s="201">
        <f>+pronostico!I45*10%</f>
        <v>3119.3126194691399</v>
      </c>
      <c r="AE46" s="204">
        <f t="shared" si="16"/>
        <v>8765268.4607082829</v>
      </c>
      <c r="AF46" s="205">
        <f t="shared" si="17"/>
        <v>4382634.2303541414</v>
      </c>
    </row>
    <row r="47" spans="1:32" ht="15.75" x14ac:dyDescent="0.25">
      <c r="A47" s="109">
        <f t="shared" si="21"/>
        <v>100044</v>
      </c>
      <c r="B47" s="121" t="s">
        <v>113</v>
      </c>
      <c r="C47" s="246" t="s">
        <v>108</v>
      </c>
      <c r="D47" s="247">
        <v>4140</v>
      </c>
      <c r="E47" s="104">
        <f t="shared" si="18"/>
        <v>0.4</v>
      </c>
      <c r="F47" s="105">
        <f>+pronostico!D46*50%</f>
        <v>12598.635418241282</v>
      </c>
      <c r="G47" s="106">
        <f t="shared" si="0"/>
        <v>52158350.631518908</v>
      </c>
      <c r="H47" s="107">
        <f t="shared" si="1"/>
        <v>20863340.252607565</v>
      </c>
      <c r="I47" s="106">
        <f t="shared" si="22"/>
        <v>7559.1812509447682</v>
      </c>
      <c r="J47" s="108">
        <f t="shared" si="3"/>
        <v>3779.5906254723841</v>
      </c>
      <c r="K47" s="195">
        <f t="shared" si="4"/>
        <v>1259.8635418241283</v>
      </c>
      <c r="L47" s="196" t="s">
        <v>21</v>
      </c>
      <c r="M47" s="197">
        <f>+pronostico!D46*20%</f>
        <v>5039.4541672965133</v>
      </c>
      <c r="N47" s="198">
        <f t="shared" si="6"/>
        <v>20863340.252607565</v>
      </c>
      <c r="O47" s="199">
        <f t="shared" si="7"/>
        <v>8345336.1010430269</v>
      </c>
      <c r="P47" s="198">
        <f t="shared" si="19"/>
        <v>2519.7270836482567</v>
      </c>
      <c r="Q47" s="200">
        <f t="shared" si="20"/>
        <v>2519.7270836482567</v>
      </c>
      <c r="R47" s="201">
        <f>+pronostico!D46*8%</f>
        <v>2015.7816669186052</v>
      </c>
      <c r="S47" s="202">
        <f t="shared" si="8"/>
        <v>8345336.101043026</v>
      </c>
      <c r="T47" s="203">
        <f t="shared" si="9"/>
        <v>3338134.4404172106</v>
      </c>
      <c r="U47" s="201">
        <f>+pronostico!D46*8%</f>
        <v>2015.7816669186052</v>
      </c>
      <c r="V47" s="204">
        <f t="shared" si="25"/>
        <v>8345336.101043026</v>
      </c>
      <c r="W47" s="205">
        <f t="shared" si="24"/>
        <v>3338134.4404172106</v>
      </c>
      <c r="X47" s="201">
        <f>+pronostico!D46*2%</f>
        <v>503.9454167296513</v>
      </c>
      <c r="Y47" s="206">
        <f t="shared" si="12"/>
        <v>2086334.0252607565</v>
      </c>
      <c r="Z47" s="206">
        <f t="shared" si="13"/>
        <v>834533.61010430264</v>
      </c>
      <c r="AA47" s="207">
        <f>+pronostico!D46*2%</f>
        <v>503.9454167296513</v>
      </c>
      <c r="AB47" s="208">
        <f t="shared" si="14"/>
        <v>2086334.0252607565</v>
      </c>
      <c r="AC47" s="209">
        <f t="shared" si="15"/>
        <v>834533.61010430264</v>
      </c>
      <c r="AD47" s="201">
        <f>+pronostico!I46*10%</f>
        <v>2548.5447784598946</v>
      </c>
      <c r="AE47" s="204">
        <f t="shared" si="16"/>
        <v>10550975.382823963</v>
      </c>
      <c r="AF47" s="205">
        <f t="shared" si="17"/>
        <v>4220390.1531295851</v>
      </c>
    </row>
    <row r="48" spans="1:32" ht="15.75" x14ac:dyDescent="0.25">
      <c r="A48" s="109">
        <f t="shared" si="21"/>
        <v>100045</v>
      </c>
      <c r="B48" s="121" t="s">
        <v>116</v>
      </c>
      <c r="C48" s="246" t="s">
        <v>108</v>
      </c>
      <c r="D48" s="247">
        <v>2150</v>
      </c>
      <c r="E48" s="104">
        <f t="shared" si="18"/>
        <v>0.5</v>
      </c>
      <c r="F48" s="105">
        <f>+pronostico!D47*50%</f>
        <v>12674.05580292846</v>
      </c>
      <c r="G48" s="106">
        <f t="shared" si="0"/>
        <v>27249219.97629619</v>
      </c>
      <c r="H48" s="107">
        <f t="shared" si="1"/>
        <v>13624609.988148095</v>
      </c>
      <c r="I48" s="106">
        <f t="shared" si="22"/>
        <v>7604.4334817570762</v>
      </c>
      <c r="J48" s="108">
        <f t="shared" si="3"/>
        <v>3802.2167408785381</v>
      </c>
      <c r="K48" s="195">
        <f t="shared" si="4"/>
        <v>1267.405580292846</v>
      </c>
      <c r="L48" s="196" t="s">
        <v>21</v>
      </c>
      <c r="M48" s="197">
        <f>+pronostico!D47*20%</f>
        <v>5069.6223211713841</v>
      </c>
      <c r="N48" s="198">
        <f t="shared" si="6"/>
        <v>10899687.990518475</v>
      </c>
      <c r="O48" s="199">
        <f t="shared" si="7"/>
        <v>5449843.9952592375</v>
      </c>
      <c r="P48" s="198">
        <f t="shared" si="19"/>
        <v>2534.8111605856921</v>
      </c>
      <c r="Q48" s="200">
        <f t="shared" si="20"/>
        <v>2534.8111605856921</v>
      </c>
      <c r="R48" s="201">
        <f>+pronostico!D47*8%</f>
        <v>2027.8489284685536</v>
      </c>
      <c r="S48" s="202">
        <f t="shared" si="8"/>
        <v>4359875.1962073902</v>
      </c>
      <c r="T48" s="203">
        <f t="shared" si="9"/>
        <v>2179937.5981036951</v>
      </c>
      <c r="U48" s="201">
        <f>+pronostico!D47*8%</f>
        <v>2027.8489284685536</v>
      </c>
      <c r="V48" s="204">
        <f t="shared" si="25"/>
        <v>4359875.1962073902</v>
      </c>
      <c r="W48" s="205">
        <f t="shared" si="24"/>
        <v>2179937.5981036951</v>
      </c>
      <c r="X48" s="201">
        <f>+pronostico!D47*2%</f>
        <v>506.9622321171384</v>
      </c>
      <c r="Y48" s="206">
        <f t="shared" si="12"/>
        <v>1089968.7990518475</v>
      </c>
      <c r="Z48" s="206">
        <f t="shared" si="13"/>
        <v>544984.39952592377</v>
      </c>
      <c r="AA48" s="207">
        <f>+pronostico!D47*2%</f>
        <v>506.9622321171384</v>
      </c>
      <c r="AB48" s="208">
        <f t="shared" si="14"/>
        <v>1089968.7990518475</v>
      </c>
      <c r="AC48" s="209">
        <f t="shared" si="15"/>
        <v>544984.39952592377</v>
      </c>
      <c r="AD48" s="201">
        <f>+pronostico!I47*10%</f>
        <v>2808.7722511588568</v>
      </c>
      <c r="AE48" s="204">
        <f t="shared" si="16"/>
        <v>6038860.3399915416</v>
      </c>
      <c r="AF48" s="205">
        <f t="shared" si="17"/>
        <v>3019430.1699957708</v>
      </c>
    </row>
    <row r="49" spans="1:33" ht="15.75" x14ac:dyDescent="0.25">
      <c r="A49" s="109">
        <f t="shared" si="21"/>
        <v>100046</v>
      </c>
      <c r="B49" s="121" t="s">
        <v>118</v>
      </c>
      <c r="C49" s="246" t="s">
        <v>108</v>
      </c>
      <c r="D49" s="247">
        <v>2150</v>
      </c>
      <c r="E49" s="104">
        <f t="shared" si="18"/>
        <v>0.5</v>
      </c>
      <c r="F49" s="105">
        <f>+pronostico!D48*50%</f>
        <v>11023.80599096112</v>
      </c>
      <c r="G49" s="106">
        <f t="shared" si="0"/>
        <v>23701182.880566407</v>
      </c>
      <c r="H49" s="107">
        <f t="shared" si="1"/>
        <v>11850591.440283203</v>
      </c>
      <c r="I49" s="106">
        <f t="shared" si="22"/>
        <v>6614.2835945766719</v>
      </c>
      <c r="J49" s="108">
        <f t="shared" si="3"/>
        <v>3307.141797288336</v>
      </c>
      <c r="K49" s="195">
        <f t="shared" si="4"/>
        <v>1102.3805990961121</v>
      </c>
      <c r="L49" s="196" t="s">
        <v>21</v>
      </c>
      <c r="M49" s="197">
        <f>+pronostico!D48*20%</f>
        <v>4409.5223963844483</v>
      </c>
      <c r="N49" s="198">
        <f t="shared" si="6"/>
        <v>9480473.1522265635</v>
      </c>
      <c r="O49" s="199">
        <f t="shared" si="7"/>
        <v>4740236.5761132818</v>
      </c>
      <c r="P49" s="198">
        <f t="shared" si="19"/>
        <v>2204.7611981922241</v>
      </c>
      <c r="Q49" s="200">
        <f t="shared" si="20"/>
        <v>2204.7611981922241</v>
      </c>
      <c r="R49" s="201">
        <f>+pronostico!D48*8%</f>
        <v>1763.8089585537793</v>
      </c>
      <c r="S49" s="202">
        <f t="shared" si="8"/>
        <v>3792189.2608906254</v>
      </c>
      <c r="T49" s="203">
        <f t="shared" si="9"/>
        <v>1896094.6304453127</v>
      </c>
      <c r="U49" s="201">
        <f>+pronostico!D48*8%</f>
        <v>1763.8089585537793</v>
      </c>
      <c r="V49" s="204">
        <f t="shared" si="25"/>
        <v>3792189.2608906254</v>
      </c>
      <c r="W49" s="205">
        <f t="shared" si="24"/>
        <v>1896094.6304453127</v>
      </c>
      <c r="X49" s="201">
        <f>+pronostico!D48*2%</f>
        <v>440.95223963844484</v>
      </c>
      <c r="Y49" s="206">
        <f t="shared" si="12"/>
        <v>948047.31522265635</v>
      </c>
      <c r="Z49" s="206">
        <f t="shared" si="13"/>
        <v>474023.65761132818</v>
      </c>
      <c r="AA49" s="207">
        <f>+pronostico!D48*2%</f>
        <v>440.95223963844484</v>
      </c>
      <c r="AB49" s="208">
        <f t="shared" si="14"/>
        <v>948047.31522265635</v>
      </c>
      <c r="AC49" s="209">
        <f t="shared" si="15"/>
        <v>474023.65761132818</v>
      </c>
      <c r="AD49" s="201">
        <f>+pronostico!I48*10%</f>
        <v>2229.9766811524073</v>
      </c>
      <c r="AE49" s="204">
        <f t="shared" si="16"/>
        <v>4794449.8644776754</v>
      </c>
      <c r="AF49" s="205">
        <f t="shared" si="17"/>
        <v>2397224.9322388377</v>
      </c>
    </row>
    <row r="50" spans="1:33" ht="15.75" x14ac:dyDescent="0.25">
      <c r="A50" s="109">
        <f t="shared" si="21"/>
        <v>100047</v>
      </c>
      <c r="B50" s="121" t="s">
        <v>119</v>
      </c>
      <c r="C50" s="246" t="s">
        <v>108</v>
      </c>
      <c r="D50" s="247">
        <v>4080</v>
      </c>
      <c r="E50" s="104">
        <f t="shared" si="18"/>
        <v>0.4</v>
      </c>
      <c r="F50" s="105">
        <f>+pronostico!D49*50%</f>
        <v>8071.0008148108209</v>
      </c>
      <c r="G50" s="106">
        <f t="shared" si="0"/>
        <v>32929683.324428149</v>
      </c>
      <c r="H50" s="107">
        <f t="shared" si="1"/>
        <v>13171873.32977126</v>
      </c>
      <c r="I50" s="106">
        <f t="shared" si="22"/>
        <v>4842.6004888864927</v>
      </c>
      <c r="J50" s="108">
        <f t="shared" si="3"/>
        <v>2421.3002444432464</v>
      </c>
      <c r="K50" s="195">
        <f t="shared" si="4"/>
        <v>807.10008148108216</v>
      </c>
      <c r="L50" s="196" t="s">
        <v>21</v>
      </c>
      <c r="M50" s="197">
        <f>+pronostico!D49*20%</f>
        <v>3228.4003259243286</v>
      </c>
      <c r="N50" s="198">
        <f t="shared" si="6"/>
        <v>13171873.329771262</v>
      </c>
      <c r="O50" s="199">
        <f t="shared" si="7"/>
        <v>5268749.3319085054</v>
      </c>
      <c r="P50" s="198">
        <f t="shared" si="19"/>
        <v>1614.2001629621643</v>
      </c>
      <c r="Q50" s="200">
        <f t="shared" si="20"/>
        <v>1614.2001629621643</v>
      </c>
      <c r="R50" s="201">
        <f>+pronostico!D49*8%</f>
        <v>1291.3601303697315</v>
      </c>
      <c r="S50" s="202">
        <f t="shared" si="8"/>
        <v>5268749.3319085045</v>
      </c>
      <c r="T50" s="203">
        <f t="shared" si="9"/>
        <v>2107499.7327634017</v>
      </c>
      <c r="U50" s="201">
        <f>+pronostico!D49*8%</f>
        <v>1291.3601303697315</v>
      </c>
      <c r="V50" s="204">
        <f t="shared" si="25"/>
        <v>5268749.3319085045</v>
      </c>
      <c r="W50" s="205">
        <f t="shared" si="24"/>
        <v>2107499.7327634017</v>
      </c>
      <c r="X50" s="201">
        <f>+pronostico!D49*2%</f>
        <v>322.84003259243286</v>
      </c>
      <c r="Y50" s="206">
        <f t="shared" si="12"/>
        <v>1317187.3329771261</v>
      </c>
      <c r="Z50" s="206">
        <f t="shared" si="13"/>
        <v>526874.93319085042</v>
      </c>
      <c r="AA50" s="207">
        <f>+pronostico!D49*2%</f>
        <v>322.84003259243286</v>
      </c>
      <c r="AB50" s="208">
        <f t="shared" si="14"/>
        <v>1317187.3329771261</v>
      </c>
      <c r="AC50" s="209">
        <f t="shared" si="15"/>
        <v>526874.93319085042</v>
      </c>
      <c r="AD50" s="201">
        <f>+pronostico!I49*10%</f>
        <v>1632.6614987008704</v>
      </c>
      <c r="AE50" s="204">
        <f t="shared" si="16"/>
        <v>6661258.9146995516</v>
      </c>
      <c r="AF50" s="205">
        <f t="shared" si="17"/>
        <v>2664503.5658798208</v>
      </c>
    </row>
    <row r="51" spans="1:33" ht="18" customHeight="1" thickBot="1" x14ac:dyDescent="0.3">
      <c r="A51" s="122">
        <f t="shared" si="21"/>
        <v>100048</v>
      </c>
      <c r="B51" s="123" t="s">
        <v>122</v>
      </c>
      <c r="C51" s="248" t="s">
        <v>108</v>
      </c>
      <c r="D51" s="249">
        <v>5560</v>
      </c>
      <c r="E51" s="104">
        <f t="shared" si="18"/>
        <v>0.4</v>
      </c>
      <c r="F51" s="124">
        <f>+pronostico!D50*50%</f>
        <v>8792.797635647561</v>
      </c>
      <c r="G51" s="125">
        <f t="shared" si="0"/>
        <v>48887954.854200438</v>
      </c>
      <c r="H51" s="107">
        <f t="shared" si="1"/>
        <v>19555181.941680174</v>
      </c>
      <c r="I51" s="125">
        <f t="shared" si="22"/>
        <v>5275.6785813885363</v>
      </c>
      <c r="J51" s="126">
        <f t="shared" si="3"/>
        <v>2637.8392906942681</v>
      </c>
      <c r="K51" s="210">
        <f t="shared" si="4"/>
        <v>879.27976356475619</v>
      </c>
      <c r="L51" s="211" t="s">
        <v>21</v>
      </c>
      <c r="M51" s="197">
        <f>+pronostico!D50*20%</f>
        <v>3517.1190542590248</v>
      </c>
      <c r="N51" s="198">
        <f t="shared" si="6"/>
        <v>19555181.941680178</v>
      </c>
      <c r="O51" s="199">
        <f t="shared" si="7"/>
        <v>7822072.7766720718</v>
      </c>
      <c r="P51" s="212">
        <f t="shared" si="19"/>
        <v>1758.5595271295124</v>
      </c>
      <c r="Q51" s="213">
        <f t="shared" si="20"/>
        <v>1758.5595271295124</v>
      </c>
      <c r="R51" s="214">
        <f>+pronostico!D50*8%</f>
        <v>1406.8476217036098</v>
      </c>
      <c r="S51" s="202">
        <f t="shared" si="8"/>
        <v>7822072.7766720699</v>
      </c>
      <c r="T51" s="203">
        <f t="shared" si="9"/>
        <v>3128829.1106688282</v>
      </c>
      <c r="U51" s="214">
        <f>+pronostico!D50*8%</f>
        <v>1406.8476217036098</v>
      </c>
      <c r="V51" s="204">
        <f t="shared" si="25"/>
        <v>7822072.7766720699</v>
      </c>
      <c r="W51" s="205">
        <f t="shared" si="24"/>
        <v>3128829.1106688282</v>
      </c>
      <c r="X51" s="214">
        <f>+pronostico!D50*2%</f>
        <v>351.71190542590244</v>
      </c>
      <c r="Y51" s="206">
        <f t="shared" si="12"/>
        <v>1955518.1941680175</v>
      </c>
      <c r="Z51" s="206">
        <f t="shared" si="13"/>
        <v>782207.27766720706</v>
      </c>
      <c r="AA51" s="207">
        <f>+pronostico!D50*2%</f>
        <v>351.71190542590244</v>
      </c>
      <c r="AB51" s="208">
        <f t="shared" si="14"/>
        <v>1955518.1941680175</v>
      </c>
      <c r="AC51" s="209">
        <f t="shared" si="15"/>
        <v>782207.27766720706</v>
      </c>
      <c r="AD51" s="201">
        <f>+pronostico!I50*10%</f>
        <v>1778.6718766334682</v>
      </c>
      <c r="AE51" s="204">
        <f t="shared" si="16"/>
        <v>9889415.6340820827</v>
      </c>
      <c r="AF51" s="205">
        <f t="shared" si="17"/>
        <v>3955766.2536328332</v>
      </c>
    </row>
    <row r="52" spans="1:33" ht="15.75" x14ac:dyDescent="0.25">
      <c r="A52" s="127"/>
      <c r="B52" s="350" t="s">
        <v>146</v>
      </c>
      <c r="C52" s="218"/>
      <c r="D52" s="218"/>
      <c r="E52" s="219"/>
      <c r="F52" s="215"/>
      <c r="G52" s="324">
        <f>SUM(G4:G51)</f>
        <v>4919415856.9047956</v>
      </c>
      <c r="H52" s="216">
        <f>SUM(H4:H51)</f>
        <v>2176289016.6335845</v>
      </c>
      <c r="I52" s="217"/>
      <c r="J52" s="218"/>
      <c r="K52" s="218"/>
      <c r="L52" s="219"/>
      <c r="M52" s="215"/>
      <c r="N52" s="324">
        <f>SUM(N4:N51)</f>
        <v>1967766342.7619176</v>
      </c>
      <c r="O52" s="220">
        <f>SUM(O4:O51)</f>
        <v>870515606.65343392</v>
      </c>
      <c r="P52" s="217"/>
      <c r="Q52" s="219"/>
      <c r="R52" s="215"/>
      <c r="S52" s="324">
        <f>SUM(S4:S51)</f>
        <v>787106537.10476696</v>
      </c>
      <c r="T52" s="221">
        <f>SUM(T4:T51)</f>
        <v>348206242.66137362</v>
      </c>
      <c r="U52" s="215"/>
      <c r="V52" s="325">
        <f>SUM(V4:V51)</f>
        <v>787106537.10476696</v>
      </c>
      <c r="W52" s="221">
        <f>SUM(W4:W51)</f>
        <v>348206242.66137362</v>
      </c>
      <c r="X52" s="215"/>
      <c r="Y52" s="325">
        <f>SUM(Y4:Y51)</f>
        <v>196776634.27619174</v>
      </c>
      <c r="Z52" s="222">
        <f>SUM(Z4:Z51)</f>
        <v>87051560.665343404</v>
      </c>
      <c r="AA52" s="223"/>
      <c r="AB52" s="325">
        <f>SUM(AB4:AB51)</f>
        <v>196776634.27619174</v>
      </c>
      <c r="AC52" s="224">
        <f>SUM(AC4:AC51)</f>
        <v>87051560.665343404</v>
      </c>
      <c r="AD52" s="223"/>
      <c r="AE52" s="325">
        <f>SUM(AE4:AE51)</f>
        <v>1076520989.9873908</v>
      </c>
      <c r="AF52" s="224">
        <f>SUM(AF4:AF51)</f>
        <v>477309888.92634606</v>
      </c>
      <c r="AG52" s="363">
        <f>+S52+V52+Y52+AB52+AE52</f>
        <v>3044287332.7493081</v>
      </c>
    </row>
    <row r="53" spans="1:33" ht="16.5" thickBot="1" x14ac:dyDescent="0.3">
      <c r="A53" s="127"/>
      <c r="B53" s="326" t="s">
        <v>147</v>
      </c>
      <c r="C53" s="330"/>
      <c r="D53" s="330"/>
      <c r="E53" s="332"/>
      <c r="F53" s="326"/>
      <c r="G53" s="327">
        <f>+G52*30%</f>
        <v>1475824757.0714386</v>
      </c>
      <c r="H53" s="328"/>
      <c r="I53" s="329"/>
      <c r="J53" s="330"/>
      <c r="K53" s="331"/>
      <c r="L53" s="332"/>
      <c r="M53" s="326"/>
      <c r="N53" s="333">
        <f>+N52*20%</f>
        <v>393553268.55238354</v>
      </c>
      <c r="O53" s="328"/>
      <c r="P53" s="334"/>
      <c r="Q53" s="335"/>
      <c r="R53" s="336"/>
      <c r="S53" s="337">
        <f>+S52*12%</f>
        <v>94452784.452572033</v>
      </c>
      <c r="T53" s="328"/>
      <c r="U53" s="338"/>
      <c r="V53" s="337">
        <f>+V52*12%</f>
        <v>94452784.452572033</v>
      </c>
      <c r="W53" s="328"/>
      <c r="X53" s="338"/>
      <c r="Y53" s="337"/>
      <c r="Z53" s="339"/>
      <c r="AA53" s="338"/>
      <c r="AB53" s="337">
        <f>+AB52*12%</f>
        <v>23613196.113143008</v>
      </c>
      <c r="AC53" s="328"/>
      <c r="AD53" s="338"/>
      <c r="AE53" s="337">
        <f>+AE52*12%</f>
        <v>129182518.79848689</v>
      </c>
      <c r="AF53" s="328"/>
    </row>
    <row r="54" spans="1:33" ht="16.5" thickBot="1" x14ac:dyDescent="0.3">
      <c r="A54" s="127"/>
      <c r="B54" s="340" t="s">
        <v>148</v>
      </c>
      <c r="C54" s="344"/>
      <c r="D54" s="344"/>
      <c r="E54" s="345"/>
      <c r="F54" s="340"/>
      <c r="G54" s="341">
        <f>+G52-G53</f>
        <v>3443591099.8333569</v>
      </c>
      <c r="H54" s="342"/>
      <c r="I54" s="343"/>
      <c r="J54" s="344"/>
      <c r="K54" s="344"/>
      <c r="L54" s="345"/>
      <c r="M54" s="340"/>
      <c r="N54" s="346">
        <f>+N52-N53</f>
        <v>1574213074.2095342</v>
      </c>
      <c r="O54" s="342"/>
      <c r="P54" s="343"/>
      <c r="Q54" s="345"/>
      <c r="R54" s="340"/>
      <c r="S54" s="347">
        <f>+S52-S53</f>
        <v>692653752.65219498</v>
      </c>
      <c r="T54" s="342"/>
      <c r="U54" s="348"/>
      <c r="V54" s="347">
        <f>+V52-V53</f>
        <v>692653752.65219498</v>
      </c>
      <c r="W54" s="342"/>
      <c r="X54" s="348"/>
      <c r="Y54" s="347">
        <f>+Y52-Y53</f>
        <v>196776634.27619174</v>
      </c>
      <c r="Z54" s="349"/>
      <c r="AA54" s="348"/>
      <c r="AB54" s="347">
        <f>+AB52-AB53</f>
        <v>173163438.16304874</v>
      </c>
      <c r="AC54" s="342"/>
      <c r="AD54" s="348"/>
      <c r="AE54" s="347">
        <f>+AE52-AE53</f>
        <v>947338471.18890381</v>
      </c>
      <c r="AF54" s="342"/>
    </row>
    <row r="55" spans="1:33" s="1" customFormat="1" ht="15.75" x14ac:dyDescent="0.25">
      <c r="A55" s="127"/>
      <c r="B55" s="356"/>
      <c r="C55" s="356"/>
      <c r="D55" s="356"/>
      <c r="E55" s="356"/>
      <c r="F55" s="356"/>
      <c r="G55" s="357"/>
      <c r="H55" s="358"/>
      <c r="I55" s="356"/>
      <c r="J55" s="356"/>
      <c r="K55" s="356"/>
      <c r="L55" s="356"/>
      <c r="M55" s="356"/>
      <c r="N55" s="359"/>
      <c r="O55" s="358"/>
      <c r="P55" s="356"/>
      <c r="Q55" s="356"/>
      <c r="R55" s="356"/>
      <c r="S55" s="361">
        <f>+S52/$AG$52</f>
        <v>0.25855198641644905</v>
      </c>
      <c r="T55" s="358"/>
      <c r="U55" s="360"/>
      <c r="V55" s="361">
        <f>+V52/$AG$52</f>
        <v>0.25855198641644905</v>
      </c>
      <c r="W55" s="358"/>
      <c r="X55" s="360"/>
      <c r="Y55" s="361">
        <f>+Y52/$AG$52</f>
        <v>6.4637996604112263E-2</v>
      </c>
      <c r="Z55" s="358"/>
      <c r="AA55" s="360"/>
      <c r="AB55" s="361">
        <f>+AB52/$AG$52</f>
        <v>6.4637996604112263E-2</v>
      </c>
      <c r="AC55" s="358"/>
      <c r="AD55" s="360"/>
      <c r="AE55" s="361">
        <f>+AE52/$AG$52</f>
        <v>0.35362003395887742</v>
      </c>
      <c r="AF55" s="358"/>
    </row>
    <row r="56" spans="1:33" ht="15.75" x14ac:dyDescent="0.25">
      <c r="A56" s="226"/>
      <c r="B56" s="227"/>
      <c r="C56" s="227"/>
      <c r="D56" s="227"/>
      <c r="E56" s="227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</row>
    <row r="57" spans="1:33" ht="18.75" x14ac:dyDescent="0.3">
      <c r="A57" s="226"/>
      <c r="B57" s="227"/>
      <c r="C57" s="227"/>
      <c r="D57" s="227"/>
      <c r="E57" s="227"/>
      <c r="F57" s="786" t="s">
        <v>161</v>
      </c>
      <c r="G57" s="787"/>
      <c r="H57" s="788"/>
      <c r="I57" s="351"/>
      <c r="J57" s="351"/>
      <c r="K57" s="351"/>
      <c r="L57" s="351"/>
      <c r="M57" s="786" t="s">
        <v>160</v>
      </c>
      <c r="N57" s="787"/>
      <c r="O57" s="788"/>
      <c r="P57" s="351"/>
      <c r="Q57" s="351"/>
      <c r="R57" s="786" t="s">
        <v>159</v>
      </c>
      <c r="S57" s="787"/>
      <c r="T57" s="788"/>
      <c r="U57" s="351"/>
      <c r="V57" s="363">
        <f>+H58+O58+T58</f>
        <v>9931469532.4160213</v>
      </c>
      <c r="X57" s="1"/>
      <c r="AA57" s="1"/>
      <c r="AB57" s="227"/>
      <c r="AC57" s="227"/>
      <c r="AD57" s="227"/>
      <c r="AE57" s="227"/>
      <c r="AF57" s="227"/>
    </row>
    <row r="58" spans="1:33" ht="18.75" x14ac:dyDescent="0.3">
      <c r="F58" s="3" t="s">
        <v>155</v>
      </c>
      <c r="G58" s="3"/>
      <c r="H58" s="271">
        <f>+G52</f>
        <v>4919415856.9047956</v>
      </c>
      <c r="I58" s="352"/>
      <c r="J58" s="352"/>
      <c r="K58" s="352"/>
      <c r="L58" s="352"/>
      <c r="M58" s="3" t="s">
        <v>155</v>
      </c>
      <c r="N58" s="3"/>
      <c r="O58" s="271">
        <f>+N52</f>
        <v>1967766342.7619176</v>
      </c>
      <c r="P58" s="352"/>
      <c r="Q58" s="352"/>
      <c r="R58" s="3" t="s">
        <v>155</v>
      </c>
      <c r="S58" s="3"/>
      <c r="T58" s="271">
        <f>S52+V52+Y52+AB52+AE52</f>
        <v>3044287332.7493081</v>
      </c>
      <c r="U58" s="352"/>
      <c r="X58" s="1"/>
      <c r="AA58" s="1"/>
    </row>
    <row r="59" spans="1:33" ht="18.75" x14ac:dyDescent="0.3">
      <c r="F59" s="3" t="s">
        <v>156</v>
      </c>
      <c r="G59" s="3"/>
      <c r="H59" s="271">
        <f>+G52-H52</f>
        <v>2743126840.2712111</v>
      </c>
      <c r="I59" s="352"/>
      <c r="J59" s="352"/>
      <c r="K59" s="352"/>
      <c r="L59" s="352"/>
      <c r="M59" s="3" t="s">
        <v>156</v>
      </c>
      <c r="N59" s="3"/>
      <c r="O59" s="271">
        <f>+N52-O52</f>
        <v>1097250736.1084838</v>
      </c>
      <c r="P59" s="353"/>
      <c r="Q59" s="352"/>
      <c r="R59" s="3" t="s">
        <v>156</v>
      </c>
      <c r="S59" s="3"/>
      <c r="T59" s="271">
        <f>T58-T60</f>
        <v>1696461837.169528</v>
      </c>
      <c r="U59" s="352"/>
      <c r="X59" s="1"/>
      <c r="AA59" s="1"/>
    </row>
    <row r="60" spans="1:33" ht="18.75" x14ac:dyDescent="0.3">
      <c r="F60" s="3" t="s">
        <v>157</v>
      </c>
      <c r="G60" s="3"/>
      <c r="H60" s="271">
        <f>+H52</f>
        <v>2176289016.6335845</v>
      </c>
      <c r="I60" s="352"/>
      <c r="J60" s="352"/>
      <c r="K60" s="352"/>
      <c r="L60" s="352"/>
      <c r="M60" s="3" t="s">
        <v>157</v>
      </c>
      <c r="N60" s="3"/>
      <c r="O60" s="271">
        <f>+O52</f>
        <v>870515606.65343392</v>
      </c>
      <c r="P60" s="352"/>
      <c r="Q60" s="352"/>
      <c r="R60" s="3" t="s">
        <v>157</v>
      </c>
      <c r="S60" s="3"/>
      <c r="T60" s="271">
        <f>T52+W52+Z52+AC52+AF52</f>
        <v>1347825495.5797801</v>
      </c>
      <c r="U60" s="352"/>
      <c r="X60" s="1"/>
      <c r="AA60" s="1"/>
    </row>
    <row r="61" spans="1:33" ht="18.75" x14ac:dyDescent="0.3">
      <c r="F61" s="3" t="s">
        <v>147</v>
      </c>
      <c r="G61" s="3"/>
      <c r="H61" s="271">
        <f>+G53</f>
        <v>1475824757.0714386</v>
      </c>
      <c r="I61" s="352"/>
      <c r="J61" s="352"/>
      <c r="K61" s="352"/>
      <c r="L61" s="352"/>
      <c r="M61" s="3" t="s">
        <v>147</v>
      </c>
      <c r="N61" s="3"/>
      <c r="O61" s="271">
        <f>+N53</f>
        <v>393553268.55238354</v>
      </c>
      <c r="P61" s="352"/>
      <c r="Q61" s="352"/>
      <c r="R61" s="3" t="s">
        <v>147</v>
      </c>
      <c r="S61" s="3"/>
      <c r="T61" s="271">
        <f>S53+V53+AB53+AE53</f>
        <v>341701283.81677395</v>
      </c>
      <c r="U61" s="352"/>
      <c r="X61" s="1"/>
      <c r="AA61" s="1"/>
    </row>
    <row r="62" spans="1:33" ht="18.75" x14ac:dyDescent="0.3">
      <c r="F62" s="3" t="s">
        <v>158</v>
      </c>
      <c r="G62" s="3"/>
      <c r="H62" s="271">
        <f>+H60-H61</f>
        <v>700464259.56214595</v>
      </c>
      <c r="I62" s="352"/>
      <c r="J62" s="352"/>
      <c r="K62" s="352"/>
      <c r="L62" s="352"/>
      <c r="M62" s="3" t="s">
        <v>158</v>
      </c>
      <c r="N62" s="3"/>
      <c r="O62" s="271">
        <f>+O60-O61</f>
        <v>476962338.10105038</v>
      </c>
      <c r="P62" s="352"/>
      <c r="Q62" s="352"/>
      <c r="R62" s="3" t="s">
        <v>158</v>
      </c>
      <c r="S62" s="3"/>
      <c r="T62" s="271">
        <f>+T60-T61</f>
        <v>1006124211.7630062</v>
      </c>
      <c r="U62" s="352"/>
      <c r="V62" s="74"/>
      <c r="X62" s="1"/>
      <c r="AA62" s="1"/>
    </row>
    <row r="63" spans="1:33" x14ac:dyDescent="0.25">
      <c r="K63" s="1"/>
      <c r="L63" s="1"/>
      <c r="P63" s="1"/>
      <c r="Q63" s="1"/>
      <c r="R63" s="1"/>
      <c r="U63" s="1"/>
      <c r="X63" s="1"/>
      <c r="AA63" s="1"/>
    </row>
    <row r="64" spans="1:33" x14ac:dyDescent="0.25">
      <c r="H64" s="362">
        <f>+H58/V57</f>
        <v>0.49533614747021765</v>
      </c>
      <c r="O64" s="362">
        <f>+O58/V57</f>
        <v>0.19813445898808699</v>
      </c>
      <c r="T64" s="362">
        <f>+T58/V57</f>
        <v>0.30652939354169539</v>
      </c>
    </row>
    <row r="66" spans="7:7" x14ac:dyDescent="0.25">
      <c r="G66" s="364">
        <f>G52/88</f>
        <v>55902452.919372678</v>
      </c>
    </row>
  </sheetData>
  <mergeCells count="7">
    <mergeCell ref="A1:AF1"/>
    <mergeCell ref="F57:H57"/>
    <mergeCell ref="M57:O57"/>
    <mergeCell ref="R57:T57"/>
    <mergeCell ref="F2:L2"/>
    <mergeCell ref="M2:Q2"/>
    <mergeCell ref="R2:AF2"/>
  </mergeCells>
  <pageMargins left="0.70866141732283472" right="0.70866141732283472" top="0.74803149606299213" bottom="0.74803149606299213" header="0.31496062992125984" footer="0.31496062992125984"/>
  <pageSetup scale="65" orientation="landscape" r:id="rId1"/>
  <ignoredErrors>
    <ignoredError sqref="I19:I20 AD4 AD17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184"/>
  <sheetViews>
    <sheetView topLeftCell="F1" workbookViewId="0">
      <selection activeCell="Q9" sqref="Q8:Q9"/>
    </sheetView>
  </sheetViews>
  <sheetFormatPr baseColWidth="10" defaultRowHeight="15" x14ac:dyDescent="0.25"/>
  <cols>
    <col min="1" max="1" width="0" style="1" hidden="1" customWidth="1"/>
    <col min="2" max="2" width="17.7109375" style="1" hidden="1" customWidth="1"/>
    <col min="3" max="5" width="0" style="1" hidden="1" customWidth="1"/>
    <col min="7" max="7" width="20.140625" customWidth="1"/>
    <col min="8" max="8" width="14.140625" bestFit="1" customWidth="1"/>
    <col min="9" max="9" width="14.140625" style="1" customWidth="1"/>
    <col min="10" max="10" width="28.7109375" style="640" customWidth="1"/>
    <col min="11" max="11" width="11.42578125" style="640"/>
    <col min="12" max="12" width="22.85546875" style="587" hidden="1" customWidth="1"/>
    <col min="13" max="13" width="24.5703125" customWidth="1"/>
  </cols>
  <sheetData>
    <row r="1" spans="1:13" s="1" customFormat="1" ht="18" x14ac:dyDescent="0.25">
      <c r="A1" s="805" t="s">
        <v>167</v>
      </c>
      <c r="B1" s="806"/>
      <c r="C1" s="806"/>
      <c r="D1" s="806"/>
      <c r="E1" s="806"/>
      <c r="F1" s="806"/>
      <c r="G1" s="806"/>
      <c r="H1" s="806"/>
      <c r="I1" s="806"/>
      <c r="J1" s="806"/>
      <c r="K1" s="806"/>
      <c r="L1" s="806"/>
    </row>
    <row r="2" spans="1:13" ht="15.75" thickBot="1" x14ac:dyDescent="0.3">
      <c r="L2" s="647"/>
    </row>
    <row r="3" spans="1:13" ht="45.75" thickBot="1" x14ac:dyDescent="0.3">
      <c r="A3" s="365" t="s">
        <v>31</v>
      </c>
      <c r="B3" s="366" t="s">
        <v>2</v>
      </c>
      <c r="C3" s="366" t="s">
        <v>34</v>
      </c>
      <c r="D3" s="366" t="s">
        <v>137</v>
      </c>
      <c r="E3" s="366" t="s">
        <v>149</v>
      </c>
      <c r="F3" s="650" t="s">
        <v>162</v>
      </c>
      <c r="G3" s="650" t="s">
        <v>166</v>
      </c>
      <c r="H3" s="650" t="s">
        <v>526</v>
      </c>
      <c r="I3" s="650" t="s">
        <v>184</v>
      </c>
      <c r="J3" s="731" t="s">
        <v>241</v>
      </c>
      <c r="K3" s="732" t="s">
        <v>242</v>
      </c>
      <c r="L3" s="733" t="s">
        <v>266</v>
      </c>
      <c r="M3" s="733" t="s">
        <v>266</v>
      </c>
    </row>
    <row r="4" spans="1:13" ht="15.75" x14ac:dyDescent="0.25">
      <c r="A4" s="372">
        <v>100001</v>
      </c>
      <c r="B4" s="373" t="s">
        <v>15</v>
      </c>
      <c r="C4" s="374" t="s">
        <v>38</v>
      </c>
      <c r="D4" s="375">
        <v>4910</v>
      </c>
      <c r="E4" s="376">
        <f>IF(D4&lt;3500,0.5,0.4)</f>
        <v>0.4</v>
      </c>
      <c r="F4" s="727">
        <v>1</v>
      </c>
      <c r="G4" s="728" t="s">
        <v>212</v>
      </c>
      <c r="H4" s="645">
        <f>+('RED DISTRIBUCION MES 1'!$H$58/88)*25%</f>
        <v>13975613.229843169</v>
      </c>
      <c r="I4" s="645" t="s">
        <v>262</v>
      </c>
      <c r="J4" s="645" t="s">
        <v>243</v>
      </c>
      <c r="K4" s="645">
        <v>1</v>
      </c>
      <c r="L4" s="729" t="s">
        <v>273</v>
      </c>
      <c r="M4" s="730" t="s">
        <v>329</v>
      </c>
    </row>
    <row r="5" spans="1:13" x14ac:dyDescent="0.25">
      <c r="A5" s="377">
        <f>+A4+1</f>
        <v>100002</v>
      </c>
      <c r="B5" s="378" t="s">
        <v>16</v>
      </c>
      <c r="C5" s="379" t="s">
        <v>38</v>
      </c>
      <c r="D5" s="380">
        <v>4910</v>
      </c>
      <c r="E5" s="376">
        <f t="shared" ref="E5:E51" si="0">IF(D5&lt;3500,0.5,0.4)</f>
        <v>0.4</v>
      </c>
      <c r="F5" s="415">
        <f>+F4+1</f>
        <v>2</v>
      </c>
      <c r="G5" s="367" t="s">
        <v>163</v>
      </c>
      <c r="H5" s="645">
        <f>+('RED DISTRIBUCION MES 1'!$H$58/88)*25%</f>
        <v>13975613.229843169</v>
      </c>
      <c r="I5" s="645" t="s">
        <v>262</v>
      </c>
      <c r="J5" s="643" t="s">
        <v>243</v>
      </c>
      <c r="K5" s="643">
        <v>2</v>
      </c>
      <c r="L5" s="367" t="s">
        <v>274</v>
      </c>
      <c r="M5" s="367" t="s">
        <v>274</v>
      </c>
    </row>
    <row r="6" spans="1:13" x14ac:dyDescent="0.25">
      <c r="A6" s="377">
        <f t="shared" ref="A6:A51" si="1">+A5+1</f>
        <v>100003</v>
      </c>
      <c r="B6" s="378" t="s">
        <v>17</v>
      </c>
      <c r="C6" s="379" t="s">
        <v>38</v>
      </c>
      <c r="D6" s="380">
        <v>6000</v>
      </c>
      <c r="E6" s="376">
        <f t="shared" si="0"/>
        <v>0.4</v>
      </c>
      <c r="F6" s="415">
        <f t="shared" ref="F6:F69" si="2">+F5+1</f>
        <v>3</v>
      </c>
      <c r="G6" s="367" t="s">
        <v>163</v>
      </c>
      <c r="H6" s="645">
        <f>+('RED DISTRIBUCION MES 1'!$H$58/88)*25%</f>
        <v>13975613.229843169</v>
      </c>
      <c r="I6" s="645" t="s">
        <v>262</v>
      </c>
      <c r="J6" s="643" t="s">
        <v>243</v>
      </c>
      <c r="K6" s="643">
        <v>3</v>
      </c>
      <c r="L6" s="367" t="s">
        <v>275</v>
      </c>
      <c r="M6" s="367" t="s">
        <v>275</v>
      </c>
    </row>
    <row r="7" spans="1:13" x14ac:dyDescent="0.25">
      <c r="A7" s="377">
        <f t="shared" si="1"/>
        <v>100004</v>
      </c>
      <c r="B7" s="378" t="s">
        <v>18</v>
      </c>
      <c r="C7" s="379" t="s">
        <v>38</v>
      </c>
      <c r="D7" s="380">
        <v>5130</v>
      </c>
      <c r="E7" s="376">
        <f t="shared" si="0"/>
        <v>0.4</v>
      </c>
      <c r="F7" s="415">
        <f t="shared" si="2"/>
        <v>4</v>
      </c>
      <c r="G7" s="367" t="s">
        <v>163</v>
      </c>
      <c r="H7" s="645">
        <f>+('RED DISTRIBUCION MES 1'!$H$58/88)*25%</f>
        <v>13975613.229843169</v>
      </c>
      <c r="I7" s="645" t="s">
        <v>262</v>
      </c>
      <c r="J7" s="643" t="s">
        <v>243</v>
      </c>
      <c r="K7" s="643">
        <v>4</v>
      </c>
      <c r="L7" s="367" t="s">
        <v>276</v>
      </c>
      <c r="M7" s="367" t="s">
        <v>276</v>
      </c>
    </row>
    <row r="8" spans="1:13" x14ac:dyDescent="0.25">
      <c r="A8" s="377">
        <f t="shared" si="1"/>
        <v>100005</v>
      </c>
      <c r="B8" s="378" t="s">
        <v>19</v>
      </c>
      <c r="C8" s="379" t="s">
        <v>38</v>
      </c>
      <c r="D8" s="380">
        <v>8550</v>
      </c>
      <c r="E8" s="376">
        <f t="shared" si="0"/>
        <v>0.4</v>
      </c>
      <c r="F8" s="415">
        <f t="shared" si="2"/>
        <v>5</v>
      </c>
      <c r="G8" s="367" t="s">
        <v>163</v>
      </c>
      <c r="H8" s="645">
        <f>+('RED DISTRIBUCION MES 1'!$H$58/88)*25%</f>
        <v>13975613.229843169</v>
      </c>
      <c r="I8" s="645" t="s">
        <v>262</v>
      </c>
      <c r="J8" s="643" t="s">
        <v>244</v>
      </c>
      <c r="K8" s="643">
        <v>1</v>
      </c>
      <c r="L8" s="367"/>
      <c r="M8" s="367" t="s">
        <v>330</v>
      </c>
    </row>
    <row r="9" spans="1:13" x14ac:dyDescent="0.25">
      <c r="A9" s="377">
        <f>+A8+1</f>
        <v>100006</v>
      </c>
      <c r="B9" s="378" t="s">
        <v>42</v>
      </c>
      <c r="C9" s="379" t="s">
        <v>38</v>
      </c>
      <c r="D9" s="380">
        <v>10100</v>
      </c>
      <c r="E9" s="376">
        <f t="shared" si="0"/>
        <v>0.4</v>
      </c>
      <c r="F9" s="415">
        <f>+F8+1</f>
        <v>6</v>
      </c>
      <c r="G9" s="367" t="s">
        <v>163</v>
      </c>
      <c r="H9" s="645">
        <f>+('RED DISTRIBUCION MES 1'!$H$58/88)*25%</f>
        <v>13975613.229843169</v>
      </c>
      <c r="I9" s="645" t="s">
        <v>262</v>
      </c>
      <c r="J9" s="643" t="s">
        <v>244</v>
      </c>
      <c r="K9" s="643">
        <v>2</v>
      </c>
      <c r="L9" s="367"/>
      <c r="M9" s="367" t="s">
        <v>331</v>
      </c>
    </row>
    <row r="10" spans="1:13" x14ac:dyDescent="0.25">
      <c r="A10" s="381">
        <f t="shared" si="1"/>
        <v>100007</v>
      </c>
      <c r="B10" s="382" t="s">
        <v>43</v>
      </c>
      <c r="C10" s="383" t="s">
        <v>46</v>
      </c>
      <c r="D10" s="384">
        <v>2340</v>
      </c>
      <c r="E10" s="385">
        <f t="shared" si="0"/>
        <v>0.5</v>
      </c>
      <c r="F10" s="415">
        <f t="shared" si="2"/>
        <v>7</v>
      </c>
      <c r="G10" s="367" t="s">
        <v>163</v>
      </c>
      <c r="H10" s="645">
        <f>+('RED DISTRIBUCION MES 1'!$H$58/88)*25%</f>
        <v>13975613.229843169</v>
      </c>
      <c r="I10" s="645" t="s">
        <v>262</v>
      </c>
      <c r="J10" s="643" t="s">
        <v>244</v>
      </c>
      <c r="K10" s="643">
        <v>3</v>
      </c>
      <c r="L10" s="367"/>
      <c r="M10" s="367" t="s">
        <v>332</v>
      </c>
    </row>
    <row r="11" spans="1:13" x14ac:dyDescent="0.25">
      <c r="A11" s="381">
        <f t="shared" si="1"/>
        <v>100008</v>
      </c>
      <c r="B11" s="382" t="s">
        <v>47</v>
      </c>
      <c r="C11" s="383" t="s">
        <v>46</v>
      </c>
      <c r="D11" s="384">
        <v>2340</v>
      </c>
      <c r="E11" s="385">
        <f t="shared" si="0"/>
        <v>0.5</v>
      </c>
      <c r="F11" s="415">
        <f t="shared" si="2"/>
        <v>8</v>
      </c>
      <c r="G11" s="367" t="s">
        <v>163</v>
      </c>
      <c r="H11" s="645">
        <f>+('RED DISTRIBUCION MES 1'!$H$58/88)*25%</f>
        <v>13975613.229843169</v>
      </c>
      <c r="I11" s="645" t="s">
        <v>262</v>
      </c>
      <c r="J11" s="643" t="s">
        <v>244</v>
      </c>
      <c r="K11" s="643">
        <v>4</v>
      </c>
      <c r="L11" s="367"/>
      <c r="M11" s="367" t="s">
        <v>333</v>
      </c>
    </row>
    <row r="12" spans="1:13" x14ac:dyDescent="0.25">
      <c r="A12" s="381">
        <f t="shared" si="1"/>
        <v>100009</v>
      </c>
      <c r="B12" s="382" t="s">
        <v>50</v>
      </c>
      <c r="C12" s="383" t="s">
        <v>46</v>
      </c>
      <c r="D12" s="384">
        <v>2240</v>
      </c>
      <c r="E12" s="385">
        <f t="shared" si="0"/>
        <v>0.5</v>
      </c>
      <c r="F12" s="415">
        <f t="shared" si="2"/>
        <v>9</v>
      </c>
      <c r="G12" s="367" t="s">
        <v>163</v>
      </c>
      <c r="H12" s="645">
        <f>+('RED DISTRIBUCION MES 1'!$H$58/88)*25%</f>
        <v>13975613.229843169</v>
      </c>
      <c r="I12" s="645" t="s">
        <v>262</v>
      </c>
      <c r="J12" s="643" t="s">
        <v>244</v>
      </c>
      <c r="K12" s="643">
        <v>5</v>
      </c>
      <c r="L12" s="367"/>
      <c r="M12" s="367" t="s">
        <v>334</v>
      </c>
    </row>
    <row r="13" spans="1:13" x14ac:dyDescent="0.25">
      <c r="A13" s="381">
        <f t="shared" si="1"/>
        <v>100010</v>
      </c>
      <c r="B13" s="382" t="s">
        <v>52</v>
      </c>
      <c r="C13" s="383" t="s">
        <v>46</v>
      </c>
      <c r="D13" s="384">
        <v>2300</v>
      </c>
      <c r="E13" s="385">
        <f t="shared" si="0"/>
        <v>0.5</v>
      </c>
      <c r="F13" s="415">
        <f t="shared" si="2"/>
        <v>10</v>
      </c>
      <c r="G13" s="367" t="s">
        <v>163</v>
      </c>
      <c r="H13" s="645">
        <f>+('RED DISTRIBUCION MES 1'!$H$58/88)*25%</f>
        <v>13975613.229843169</v>
      </c>
      <c r="I13" s="645" t="s">
        <v>262</v>
      </c>
      <c r="J13" s="643" t="s">
        <v>244</v>
      </c>
      <c r="K13" s="643">
        <v>6</v>
      </c>
      <c r="L13" s="367"/>
      <c r="M13" s="367" t="s">
        <v>335</v>
      </c>
    </row>
    <row r="14" spans="1:13" x14ac:dyDescent="0.25">
      <c r="A14" s="381">
        <f t="shared" si="1"/>
        <v>100011</v>
      </c>
      <c r="B14" s="382" t="s">
        <v>53</v>
      </c>
      <c r="C14" s="383" t="s">
        <v>46</v>
      </c>
      <c r="D14" s="384">
        <v>1260</v>
      </c>
      <c r="E14" s="385">
        <f t="shared" si="0"/>
        <v>0.5</v>
      </c>
      <c r="F14" s="415">
        <f t="shared" si="2"/>
        <v>11</v>
      </c>
      <c r="G14" s="367" t="s">
        <v>163</v>
      </c>
      <c r="H14" s="645">
        <f>+('RED DISTRIBUCION MES 1'!$H$58/88)*25%</f>
        <v>13975613.229843169</v>
      </c>
      <c r="I14" s="645" t="s">
        <v>262</v>
      </c>
      <c r="J14" s="643" t="s">
        <v>245</v>
      </c>
      <c r="K14" s="643">
        <v>1</v>
      </c>
      <c r="L14" s="367"/>
      <c r="M14" s="367" t="s">
        <v>336</v>
      </c>
    </row>
    <row r="15" spans="1:13" x14ac:dyDescent="0.25">
      <c r="A15" s="381">
        <f t="shared" si="1"/>
        <v>100012</v>
      </c>
      <c r="B15" s="382" t="s">
        <v>55</v>
      </c>
      <c r="C15" s="383" t="s">
        <v>46</v>
      </c>
      <c r="D15" s="384">
        <v>1260</v>
      </c>
      <c r="E15" s="385">
        <f t="shared" si="0"/>
        <v>0.5</v>
      </c>
      <c r="F15" s="415">
        <f t="shared" si="2"/>
        <v>12</v>
      </c>
      <c r="G15" s="367" t="s">
        <v>163</v>
      </c>
      <c r="H15" s="645">
        <f>+('RED DISTRIBUCION MES 1'!$H$58/88)*25%</f>
        <v>13975613.229843169</v>
      </c>
      <c r="I15" s="645" t="s">
        <v>262</v>
      </c>
      <c r="J15" s="643" t="s">
        <v>245</v>
      </c>
      <c r="K15" s="643">
        <v>2</v>
      </c>
      <c r="L15" s="367"/>
      <c r="M15" s="367" t="s">
        <v>337</v>
      </c>
    </row>
    <row r="16" spans="1:13" x14ac:dyDescent="0.25">
      <c r="A16" s="381">
        <f t="shared" si="1"/>
        <v>100013</v>
      </c>
      <c r="B16" s="382" t="s">
        <v>57</v>
      </c>
      <c r="C16" s="383" t="s">
        <v>46</v>
      </c>
      <c r="D16" s="384">
        <v>2710</v>
      </c>
      <c r="E16" s="385">
        <f t="shared" si="0"/>
        <v>0.5</v>
      </c>
      <c r="F16" s="415">
        <f t="shared" si="2"/>
        <v>13</v>
      </c>
      <c r="G16" s="367" t="s">
        <v>163</v>
      </c>
      <c r="H16" s="645">
        <f>+('RED DISTRIBUCION MES 1'!$H$58/88)*25%</f>
        <v>13975613.229843169</v>
      </c>
      <c r="I16" s="645" t="s">
        <v>262</v>
      </c>
      <c r="J16" s="643" t="s">
        <v>245</v>
      </c>
      <c r="K16" s="643">
        <v>3</v>
      </c>
      <c r="L16" s="367"/>
      <c r="M16" s="367" t="s">
        <v>338</v>
      </c>
    </row>
    <row r="17" spans="1:13" x14ac:dyDescent="0.25">
      <c r="A17" s="381">
        <f t="shared" si="1"/>
        <v>100014</v>
      </c>
      <c r="B17" s="382" t="s">
        <v>59</v>
      </c>
      <c r="C17" s="383" t="s">
        <v>46</v>
      </c>
      <c r="D17" s="384">
        <v>1480</v>
      </c>
      <c r="E17" s="385">
        <f t="shared" si="0"/>
        <v>0.5</v>
      </c>
      <c r="F17" s="415">
        <f t="shared" si="2"/>
        <v>14</v>
      </c>
      <c r="G17" s="367" t="s">
        <v>163</v>
      </c>
      <c r="H17" s="645">
        <f>+('RED DISTRIBUCION MES 1'!$H$58/88)*25%</f>
        <v>13975613.229843169</v>
      </c>
      <c r="I17" s="645" t="s">
        <v>262</v>
      </c>
      <c r="J17" s="643" t="s">
        <v>245</v>
      </c>
      <c r="K17" s="643">
        <v>4</v>
      </c>
      <c r="L17" s="367"/>
      <c r="M17" s="367" t="s">
        <v>339</v>
      </c>
    </row>
    <row r="18" spans="1:13" x14ac:dyDescent="0.25">
      <c r="A18" s="388">
        <f t="shared" si="1"/>
        <v>100015</v>
      </c>
      <c r="B18" s="389" t="s">
        <v>62</v>
      </c>
      <c r="C18" s="390" t="s">
        <v>63</v>
      </c>
      <c r="D18" s="391">
        <v>2360</v>
      </c>
      <c r="E18" s="392">
        <f t="shared" si="0"/>
        <v>0.5</v>
      </c>
      <c r="F18" s="415">
        <f t="shared" si="2"/>
        <v>15</v>
      </c>
      <c r="G18" s="367" t="s">
        <v>163</v>
      </c>
      <c r="H18" s="645">
        <f>+('RED DISTRIBUCION MES 1'!$H$58/88)*25%</f>
        <v>13975613.229843169</v>
      </c>
      <c r="I18" s="645" t="s">
        <v>262</v>
      </c>
      <c r="J18" s="643" t="s">
        <v>246</v>
      </c>
      <c r="K18" s="643">
        <v>1</v>
      </c>
      <c r="L18" s="367"/>
      <c r="M18" s="367" t="s">
        <v>340</v>
      </c>
    </row>
    <row r="19" spans="1:13" ht="22.5" x14ac:dyDescent="0.25">
      <c r="A19" s="388">
        <f t="shared" si="1"/>
        <v>100016</v>
      </c>
      <c r="B19" s="389" t="s">
        <v>65</v>
      </c>
      <c r="C19" s="390" t="s">
        <v>63</v>
      </c>
      <c r="D19" s="391">
        <v>5000</v>
      </c>
      <c r="E19" s="392">
        <f t="shared" si="0"/>
        <v>0.4</v>
      </c>
      <c r="F19" s="415">
        <f t="shared" si="2"/>
        <v>16</v>
      </c>
      <c r="G19" s="367" t="s">
        <v>163</v>
      </c>
      <c r="H19" s="645">
        <f>+('RED DISTRIBUCION MES 1'!$H$58/88)*25%</f>
        <v>13975613.229843169</v>
      </c>
      <c r="I19" s="645" t="s">
        <v>262</v>
      </c>
      <c r="J19" s="643" t="s">
        <v>246</v>
      </c>
      <c r="K19" s="643">
        <v>2</v>
      </c>
      <c r="L19" s="367"/>
      <c r="M19" s="367" t="s">
        <v>341</v>
      </c>
    </row>
    <row r="20" spans="1:13" x14ac:dyDescent="0.25">
      <c r="A20" s="388">
        <f t="shared" si="1"/>
        <v>100017</v>
      </c>
      <c r="B20" s="389" t="s">
        <v>66</v>
      </c>
      <c r="C20" s="390" t="s">
        <v>63</v>
      </c>
      <c r="D20" s="391">
        <v>3590</v>
      </c>
      <c r="E20" s="392">
        <f t="shared" si="0"/>
        <v>0.4</v>
      </c>
      <c r="F20" s="415">
        <f t="shared" si="2"/>
        <v>17</v>
      </c>
      <c r="G20" s="367" t="s">
        <v>163</v>
      </c>
      <c r="H20" s="645">
        <f>+('RED DISTRIBUCION MES 1'!$H$58/88)*25%</f>
        <v>13975613.229843169</v>
      </c>
      <c r="I20" s="645" t="s">
        <v>262</v>
      </c>
      <c r="J20" s="643" t="s">
        <v>246</v>
      </c>
      <c r="K20" s="643">
        <v>3</v>
      </c>
      <c r="L20" s="367"/>
      <c r="M20" s="367" t="s">
        <v>342</v>
      </c>
    </row>
    <row r="21" spans="1:13" x14ac:dyDescent="0.25">
      <c r="A21" s="388">
        <f t="shared" si="1"/>
        <v>100018</v>
      </c>
      <c r="B21" s="389" t="s">
        <v>68</v>
      </c>
      <c r="C21" s="390" t="s">
        <v>63</v>
      </c>
      <c r="D21" s="391">
        <v>12330</v>
      </c>
      <c r="E21" s="392">
        <f t="shared" si="0"/>
        <v>0.4</v>
      </c>
      <c r="F21" s="415">
        <f t="shared" si="2"/>
        <v>18</v>
      </c>
      <c r="G21" s="367" t="s">
        <v>163</v>
      </c>
      <c r="H21" s="645">
        <f>+('RED DISTRIBUCION MES 1'!$H$58/88)*25%</f>
        <v>13975613.229843169</v>
      </c>
      <c r="I21" s="645" t="s">
        <v>262</v>
      </c>
      <c r="J21" s="643" t="s">
        <v>246</v>
      </c>
      <c r="K21" s="643">
        <v>4</v>
      </c>
      <c r="L21" s="367"/>
      <c r="M21" s="367" t="s">
        <v>343</v>
      </c>
    </row>
    <row r="22" spans="1:13" x14ac:dyDescent="0.25">
      <c r="A22" s="388">
        <f t="shared" si="1"/>
        <v>100019</v>
      </c>
      <c r="B22" s="389" t="s">
        <v>70</v>
      </c>
      <c r="C22" s="390" t="s">
        <v>63</v>
      </c>
      <c r="D22" s="391">
        <v>7480</v>
      </c>
      <c r="E22" s="392">
        <f t="shared" si="0"/>
        <v>0.4</v>
      </c>
      <c r="F22" s="415">
        <f t="shared" si="2"/>
        <v>19</v>
      </c>
      <c r="G22" s="367" t="s">
        <v>163</v>
      </c>
      <c r="H22" s="645">
        <f>+('RED DISTRIBUCION MES 1'!$H$58/88)*25%</f>
        <v>13975613.229843169</v>
      </c>
      <c r="I22" s="645" t="s">
        <v>262</v>
      </c>
      <c r="J22" s="643" t="s">
        <v>246</v>
      </c>
      <c r="K22" s="643">
        <v>5</v>
      </c>
      <c r="L22" s="367"/>
      <c r="M22" s="367" t="s">
        <v>344</v>
      </c>
    </row>
    <row r="23" spans="1:13" ht="22.5" x14ac:dyDescent="0.25">
      <c r="A23" s="388">
        <f t="shared" si="1"/>
        <v>100020</v>
      </c>
      <c r="B23" s="389" t="s">
        <v>72</v>
      </c>
      <c r="C23" s="390" t="s">
        <v>63</v>
      </c>
      <c r="D23" s="391">
        <v>4100</v>
      </c>
      <c r="E23" s="392">
        <f t="shared" si="0"/>
        <v>0.4</v>
      </c>
      <c r="F23" s="415">
        <f t="shared" si="2"/>
        <v>20</v>
      </c>
      <c r="G23" s="367" t="s">
        <v>163</v>
      </c>
      <c r="H23" s="645">
        <f>+('RED DISTRIBUCION MES 1'!$H$58/88)*25%</f>
        <v>13975613.229843169</v>
      </c>
      <c r="I23" s="645" t="s">
        <v>262</v>
      </c>
      <c r="J23" s="643" t="s">
        <v>246</v>
      </c>
      <c r="K23" s="643">
        <v>6</v>
      </c>
      <c r="L23" s="367"/>
      <c r="M23" s="367" t="s">
        <v>345</v>
      </c>
    </row>
    <row r="24" spans="1:13" x14ac:dyDescent="0.25">
      <c r="A24" s="386">
        <f t="shared" si="1"/>
        <v>100021</v>
      </c>
      <c r="B24" s="393" t="s">
        <v>73</v>
      </c>
      <c r="C24" s="370" t="s">
        <v>75</v>
      </c>
      <c r="D24" s="394">
        <v>3300</v>
      </c>
      <c r="E24" s="387">
        <f t="shared" si="0"/>
        <v>0.5</v>
      </c>
      <c r="F24" s="415">
        <f t="shared" si="2"/>
        <v>21</v>
      </c>
      <c r="G24" s="367" t="s">
        <v>163</v>
      </c>
      <c r="H24" s="645">
        <f>+('RED DISTRIBUCION MES 1'!$H$58/88)*25%</f>
        <v>13975613.229843169</v>
      </c>
      <c r="I24" s="645" t="s">
        <v>262</v>
      </c>
      <c r="J24" s="643" t="s">
        <v>247</v>
      </c>
      <c r="K24" s="643">
        <v>1</v>
      </c>
      <c r="L24" s="367"/>
      <c r="M24" s="367" t="s">
        <v>346</v>
      </c>
    </row>
    <row r="25" spans="1:13" x14ac:dyDescent="0.25">
      <c r="A25" s="386">
        <f t="shared" si="1"/>
        <v>100022</v>
      </c>
      <c r="B25" s="393" t="s">
        <v>76</v>
      </c>
      <c r="C25" s="370" t="s">
        <v>75</v>
      </c>
      <c r="D25" s="394">
        <v>3000</v>
      </c>
      <c r="E25" s="387">
        <f t="shared" si="0"/>
        <v>0.5</v>
      </c>
      <c r="F25" s="415">
        <f t="shared" si="2"/>
        <v>22</v>
      </c>
      <c r="G25" s="367" t="s">
        <v>163</v>
      </c>
      <c r="H25" s="645">
        <f>+('RED DISTRIBUCION MES 1'!$H$58/88)*25%</f>
        <v>13975613.229843169</v>
      </c>
      <c r="I25" s="645" t="s">
        <v>262</v>
      </c>
      <c r="J25" s="643" t="s">
        <v>247</v>
      </c>
      <c r="K25" s="643">
        <v>2</v>
      </c>
      <c r="L25" s="367"/>
      <c r="M25" s="367" t="s">
        <v>347</v>
      </c>
    </row>
    <row r="26" spans="1:13" x14ac:dyDescent="0.25">
      <c r="A26" s="386">
        <f t="shared" si="1"/>
        <v>100023</v>
      </c>
      <c r="B26" s="393" t="s">
        <v>78</v>
      </c>
      <c r="C26" s="370" t="s">
        <v>75</v>
      </c>
      <c r="D26" s="394">
        <v>3800</v>
      </c>
      <c r="E26" s="387">
        <f t="shared" si="0"/>
        <v>0.4</v>
      </c>
      <c r="F26" s="415">
        <f t="shared" si="2"/>
        <v>23</v>
      </c>
      <c r="G26" s="367" t="s">
        <v>163</v>
      </c>
      <c r="H26" s="645">
        <f>+('RED DISTRIBUCION MES 1'!$H$58/88)*25%</f>
        <v>13975613.229843169</v>
      </c>
      <c r="I26" s="645" t="s">
        <v>262</v>
      </c>
      <c r="J26" s="643" t="s">
        <v>247</v>
      </c>
      <c r="K26" s="643">
        <v>3</v>
      </c>
      <c r="L26" s="367"/>
      <c r="M26" s="367" t="s">
        <v>348</v>
      </c>
    </row>
    <row r="27" spans="1:13" x14ac:dyDescent="0.25">
      <c r="A27" s="386">
        <f t="shared" si="1"/>
        <v>100024</v>
      </c>
      <c r="B27" s="395" t="s">
        <v>80</v>
      </c>
      <c r="C27" s="370" t="s">
        <v>75</v>
      </c>
      <c r="D27" s="394">
        <v>2300</v>
      </c>
      <c r="E27" s="387">
        <f t="shared" si="0"/>
        <v>0.5</v>
      </c>
      <c r="F27" s="415">
        <f t="shared" si="2"/>
        <v>24</v>
      </c>
      <c r="G27" s="367" t="s">
        <v>163</v>
      </c>
      <c r="H27" s="645">
        <f>+('RED DISTRIBUCION MES 1'!$H$58/88)*25%</f>
        <v>13975613.229843169</v>
      </c>
      <c r="I27" s="645" t="s">
        <v>262</v>
      </c>
      <c r="J27" s="643" t="s">
        <v>247</v>
      </c>
      <c r="K27" s="643">
        <v>4</v>
      </c>
      <c r="L27" s="367"/>
      <c r="M27" s="367" t="s">
        <v>349</v>
      </c>
    </row>
    <row r="28" spans="1:13" x14ac:dyDescent="0.25">
      <c r="A28" s="386">
        <f t="shared" si="1"/>
        <v>100025</v>
      </c>
      <c r="B28" s="395" t="s">
        <v>82</v>
      </c>
      <c r="C28" s="370" t="s">
        <v>75</v>
      </c>
      <c r="D28" s="394">
        <v>3900</v>
      </c>
      <c r="E28" s="387">
        <f t="shared" si="0"/>
        <v>0.4</v>
      </c>
      <c r="F28" s="415">
        <f t="shared" si="2"/>
        <v>25</v>
      </c>
      <c r="G28" s="367" t="s">
        <v>163</v>
      </c>
      <c r="H28" s="645">
        <f>+('RED DISTRIBUCION MES 1'!$H$58/88)*25%</f>
        <v>13975613.229843169</v>
      </c>
      <c r="I28" s="645" t="s">
        <v>262</v>
      </c>
      <c r="J28" s="643" t="s">
        <v>248</v>
      </c>
      <c r="K28" s="643">
        <v>1</v>
      </c>
      <c r="L28" s="367"/>
      <c r="M28" s="367" t="s">
        <v>350</v>
      </c>
    </row>
    <row r="29" spans="1:13" x14ac:dyDescent="0.25">
      <c r="A29" s="386">
        <f t="shared" si="1"/>
        <v>100026</v>
      </c>
      <c r="B29" s="395" t="s">
        <v>84</v>
      </c>
      <c r="C29" s="370" t="s">
        <v>75</v>
      </c>
      <c r="D29" s="394">
        <v>3000</v>
      </c>
      <c r="E29" s="387">
        <f t="shared" si="0"/>
        <v>0.5</v>
      </c>
      <c r="F29" s="415">
        <f t="shared" si="2"/>
        <v>26</v>
      </c>
      <c r="G29" s="367" t="s">
        <v>163</v>
      </c>
      <c r="H29" s="645">
        <f>+('RED DISTRIBUCION MES 1'!$H$58/88)*25%</f>
        <v>13975613.229843169</v>
      </c>
      <c r="I29" s="645" t="s">
        <v>262</v>
      </c>
      <c r="J29" s="643" t="s">
        <v>248</v>
      </c>
      <c r="K29" s="643">
        <v>2</v>
      </c>
      <c r="L29" s="367"/>
      <c r="M29" s="367" t="s">
        <v>351</v>
      </c>
    </row>
    <row r="30" spans="1:13" x14ac:dyDescent="0.25">
      <c r="A30" s="386">
        <f t="shared" si="1"/>
        <v>100027</v>
      </c>
      <c r="B30" s="395" t="s">
        <v>85</v>
      </c>
      <c r="C30" s="370" t="s">
        <v>75</v>
      </c>
      <c r="D30" s="394">
        <v>4100</v>
      </c>
      <c r="E30" s="387">
        <f t="shared" si="0"/>
        <v>0.4</v>
      </c>
      <c r="F30" s="415">
        <f t="shared" si="2"/>
        <v>27</v>
      </c>
      <c r="G30" s="367" t="s">
        <v>163</v>
      </c>
      <c r="H30" s="645">
        <f>+('RED DISTRIBUCION MES 1'!$H$58/88)*25%</f>
        <v>13975613.229843169</v>
      </c>
      <c r="I30" s="645" t="s">
        <v>262</v>
      </c>
      <c r="J30" s="643" t="s">
        <v>248</v>
      </c>
      <c r="K30" s="643">
        <v>3</v>
      </c>
      <c r="L30" s="367"/>
      <c r="M30" s="367" t="s">
        <v>352</v>
      </c>
    </row>
    <row r="31" spans="1:13" x14ac:dyDescent="0.25">
      <c r="A31" s="396">
        <f t="shared" si="1"/>
        <v>100028</v>
      </c>
      <c r="B31" s="397" t="s">
        <v>86</v>
      </c>
      <c r="C31" s="371" t="s">
        <v>88</v>
      </c>
      <c r="D31" s="398">
        <v>2350</v>
      </c>
      <c r="E31" s="399">
        <f t="shared" si="0"/>
        <v>0.5</v>
      </c>
      <c r="F31" s="415">
        <f t="shared" si="2"/>
        <v>28</v>
      </c>
      <c r="G31" s="367" t="s">
        <v>163</v>
      </c>
      <c r="H31" s="645">
        <f>+('RED DISTRIBUCION MES 1'!$H$58/88)*25%</f>
        <v>13975613.229843169</v>
      </c>
      <c r="I31" s="645" t="s">
        <v>262</v>
      </c>
      <c r="J31" s="643" t="s">
        <v>248</v>
      </c>
      <c r="K31" s="643">
        <v>4</v>
      </c>
      <c r="L31" s="367"/>
      <c r="M31" s="367" t="s">
        <v>353</v>
      </c>
    </row>
    <row r="32" spans="1:13" x14ac:dyDescent="0.25">
      <c r="A32" s="396">
        <f t="shared" si="1"/>
        <v>100029</v>
      </c>
      <c r="B32" s="397" t="s">
        <v>89</v>
      </c>
      <c r="C32" s="371" t="s">
        <v>88</v>
      </c>
      <c r="D32" s="398">
        <v>3000</v>
      </c>
      <c r="E32" s="399">
        <f t="shared" si="0"/>
        <v>0.5</v>
      </c>
      <c r="F32" s="415">
        <f t="shared" si="2"/>
        <v>29</v>
      </c>
      <c r="G32" s="367" t="s">
        <v>163</v>
      </c>
      <c r="H32" s="645">
        <f>+('RED DISTRIBUCION MES 1'!$H$58/88)*25%</f>
        <v>13975613.229843169</v>
      </c>
      <c r="I32" s="645" t="s">
        <v>262</v>
      </c>
      <c r="J32" s="643" t="s">
        <v>248</v>
      </c>
      <c r="K32" s="643">
        <v>5</v>
      </c>
      <c r="L32" s="367"/>
      <c r="M32" s="367" t="s">
        <v>354</v>
      </c>
    </row>
    <row r="33" spans="1:13" x14ac:dyDescent="0.25">
      <c r="A33" s="396">
        <f t="shared" si="1"/>
        <v>100030</v>
      </c>
      <c r="B33" s="397" t="s">
        <v>91</v>
      </c>
      <c r="C33" s="371" t="s">
        <v>88</v>
      </c>
      <c r="D33" s="398">
        <v>2300</v>
      </c>
      <c r="E33" s="399">
        <f t="shared" si="0"/>
        <v>0.5</v>
      </c>
      <c r="F33" s="415">
        <f t="shared" si="2"/>
        <v>30</v>
      </c>
      <c r="G33" s="367" t="s">
        <v>163</v>
      </c>
      <c r="H33" s="645">
        <f>+('RED DISTRIBUCION MES 1'!$H$58/88)*25%</f>
        <v>13975613.229843169</v>
      </c>
      <c r="I33" s="645" t="s">
        <v>262</v>
      </c>
      <c r="J33" s="643" t="s">
        <v>263</v>
      </c>
      <c r="K33" s="643">
        <v>3</v>
      </c>
      <c r="L33" s="367"/>
      <c r="M33" s="367" t="s">
        <v>355</v>
      </c>
    </row>
    <row r="34" spans="1:13" x14ac:dyDescent="0.25">
      <c r="A34" s="396">
        <f t="shared" si="1"/>
        <v>100031</v>
      </c>
      <c r="B34" s="397" t="s">
        <v>93</v>
      </c>
      <c r="C34" s="371" t="s">
        <v>88</v>
      </c>
      <c r="D34" s="398">
        <v>3800</v>
      </c>
      <c r="E34" s="399">
        <f t="shared" si="0"/>
        <v>0.4</v>
      </c>
      <c r="F34" s="415">
        <f t="shared" si="2"/>
        <v>31</v>
      </c>
      <c r="G34" s="367" t="s">
        <v>163</v>
      </c>
      <c r="H34" s="645">
        <f>+('RED DISTRIBUCION MES 1'!$H$58/88)*25%</f>
        <v>13975613.229843169</v>
      </c>
      <c r="I34" s="645" t="s">
        <v>262</v>
      </c>
      <c r="J34" s="643" t="s">
        <v>249</v>
      </c>
      <c r="K34" s="643">
        <v>1</v>
      </c>
      <c r="L34" s="367"/>
      <c r="M34" s="367" t="s">
        <v>356</v>
      </c>
    </row>
    <row r="35" spans="1:13" x14ac:dyDescent="0.25">
      <c r="A35" s="396">
        <f t="shared" si="1"/>
        <v>100032</v>
      </c>
      <c r="B35" s="397" t="s">
        <v>95</v>
      </c>
      <c r="C35" s="371" t="s">
        <v>88</v>
      </c>
      <c r="D35" s="398">
        <v>4000</v>
      </c>
      <c r="E35" s="399">
        <f t="shared" si="0"/>
        <v>0.4</v>
      </c>
      <c r="F35" s="415">
        <f t="shared" si="2"/>
        <v>32</v>
      </c>
      <c r="G35" s="367" t="s">
        <v>163</v>
      </c>
      <c r="H35" s="645">
        <f>+('RED DISTRIBUCION MES 1'!$H$58/88)*25%</f>
        <v>13975613.229843169</v>
      </c>
      <c r="I35" s="645" t="s">
        <v>262</v>
      </c>
      <c r="J35" s="643" t="s">
        <v>249</v>
      </c>
      <c r="K35" s="643">
        <v>2</v>
      </c>
      <c r="L35" s="367"/>
      <c r="M35" s="367" t="s">
        <v>357</v>
      </c>
    </row>
    <row r="36" spans="1:13" x14ac:dyDescent="0.25">
      <c r="A36" s="400">
        <f t="shared" si="1"/>
        <v>100033</v>
      </c>
      <c r="B36" s="401" t="s">
        <v>22</v>
      </c>
      <c r="C36" s="402" t="s">
        <v>97</v>
      </c>
      <c r="D36" s="403">
        <v>1910</v>
      </c>
      <c r="E36" s="404">
        <f t="shared" si="0"/>
        <v>0.5</v>
      </c>
      <c r="F36" s="415">
        <f t="shared" si="2"/>
        <v>33</v>
      </c>
      <c r="G36" s="367" t="s">
        <v>163</v>
      </c>
      <c r="H36" s="645">
        <f>+('RED DISTRIBUCION MES 1'!$H$58/88)*25%</f>
        <v>13975613.229843169</v>
      </c>
      <c r="I36" s="645" t="s">
        <v>262</v>
      </c>
      <c r="J36" s="643" t="s">
        <v>249</v>
      </c>
      <c r="K36" s="643">
        <v>3</v>
      </c>
      <c r="L36" s="367"/>
      <c r="M36" s="367" t="s">
        <v>358</v>
      </c>
    </row>
    <row r="37" spans="1:13" x14ac:dyDescent="0.25">
      <c r="A37" s="400">
        <f t="shared" si="1"/>
        <v>100034</v>
      </c>
      <c r="B37" s="405" t="s">
        <v>23</v>
      </c>
      <c r="C37" s="402" t="s">
        <v>97</v>
      </c>
      <c r="D37" s="403">
        <v>2170</v>
      </c>
      <c r="E37" s="404">
        <f t="shared" si="0"/>
        <v>0.5</v>
      </c>
      <c r="F37" s="415">
        <f t="shared" si="2"/>
        <v>34</v>
      </c>
      <c r="G37" s="367" t="s">
        <v>163</v>
      </c>
      <c r="H37" s="645">
        <f>+('RED DISTRIBUCION MES 1'!$H$58/88)*25%</f>
        <v>13975613.229843169</v>
      </c>
      <c r="I37" s="645" t="s">
        <v>262</v>
      </c>
      <c r="J37" s="643" t="s">
        <v>249</v>
      </c>
      <c r="K37" s="643">
        <v>4</v>
      </c>
      <c r="L37" s="367"/>
      <c r="M37" s="367" t="s">
        <v>359</v>
      </c>
    </row>
    <row r="38" spans="1:13" x14ac:dyDescent="0.25">
      <c r="A38" s="400">
        <f t="shared" si="1"/>
        <v>100035</v>
      </c>
      <c r="B38" s="405" t="s">
        <v>24</v>
      </c>
      <c r="C38" s="402" t="s">
        <v>97</v>
      </c>
      <c r="D38" s="403">
        <v>1670</v>
      </c>
      <c r="E38" s="404">
        <f t="shared" si="0"/>
        <v>0.5</v>
      </c>
      <c r="F38" s="415">
        <f t="shared" si="2"/>
        <v>35</v>
      </c>
      <c r="G38" s="367" t="s">
        <v>163</v>
      </c>
      <c r="H38" s="645">
        <f>+('RED DISTRIBUCION MES 1'!$H$58/88)*25%</f>
        <v>13975613.229843169</v>
      </c>
      <c r="I38" s="645" t="s">
        <v>262</v>
      </c>
      <c r="J38" s="643" t="s">
        <v>249</v>
      </c>
      <c r="K38" s="643">
        <v>5</v>
      </c>
      <c r="L38" s="367"/>
      <c r="M38" s="367" t="s">
        <v>360</v>
      </c>
    </row>
    <row r="39" spans="1:13" x14ac:dyDescent="0.25">
      <c r="A39" s="400">
        <f t="shared" si="1"/>
        <v>100036</v>
      </c>
      <c r="B39" s="405" t="s">
        <v>25</v>
      </c>
      <c r="C39" s="402" t="s">
        <v>97</v>
      </c>
      <c r="D39" s="403">
        <v>1020</v>
      </c>
      <c r="E39" s="404">
        <f t="shared" si="0"/>
        <v>0.5</v>
      </c>
      <c r="F39" s="415">
        <f t="shared" si="2"/>
        <v>36</v>
      </c>
      <c r="G39" s="367" t="s">
        <v>163</v>
      </c>
      <c r="H39" s="645">
        <f>+('RED DISTRIBUCION MES 1'!$H$58/88)*25%</f>
        <v>13975613.229843169</v>
      </c>
      <c r="I39" s="645" t="s">
        <v>262</v>
      </c>
      <c r="J39" s="643" t="s">
        <v>250</v>
      </c>
      <c r="K39" s="643">
        <v>1</v>
      </c>
      <c r="L39" s="367"/>
      <c r="M39" s="367" t="s">
        <v>361</v>
      </c>
    </row>
    <row r="40" spans="1:13" x14ac:dyDescent="0.25">
      <c r="A40" s="400">
        <f t="shared" si="1"/>
        <v>100037</v>
      </c>
      <c r="B40" s="405" t="s">
        <v>26</v>
      </c>
      <c r="C40" s="402" t="s">
        <v>97</v>
      </c>
      <c r="D40" s="403">
        <v>1430</v>
      </c>
      <c r="E40" s="404">
        <f t="shared" si="0"/>
        <v>0.5</v>
      </c>
      <c r="F40" s="415">
        <f t="shared" si="2"/>
        <v>37</v>
      </c>
      <c r="G40" s="367" t="s">
        <v>163</v>
      </c>
      <c r="H40" s="645">
        <f>+('RED DISTRIBUCION MES 1'!$H$58/88)*25%</f>
        <v>13975613.229843169</v>
      </c>
      <c r="I40" s="645" t="s">
        <v>262</v>
      </c>
      <c r="J40" s="643" t="s">
        <v>250</v>
      </c>
      <c r="K40" s="643">
        <v>2</v>
      </c>
      <c r="L40" s="367"/>
      <c r="M40" s="367" t="s">
        <v>362</v>
      </c>
    </row>
    <row r="41" spans="1:13" x14ac:dyDescent="0.25">
      <c r="A41" s="400">
        <f t="shared" si="1"/>
        <v>100038</v>
      </c>
      <c r="B41" s="405" t="s">
        <v>27</v>
      </c>
      <c r="C41" s="402" t="s">
        <v>97</v>
      </c>
      <c r="D41" s="403">
        <v>13260</v>
      </c>
      <c r="E41" s="404">
        <f t="shared" si="0"/>
        <v>0.4</v>
      </c>
      <c r="F41" s="415">
        <f t="shared" si="2"/>
        <v>38</v>
      </c>
      <c r="G41" s="367" t="s">
        <v>163</v>
      </c>
      <c r="H41" s="645">
        <f>+('RED DISTRIBUCION MES 1'!$H$58/88)*25%</f>
        <v>13975613.229843169</v>
      </c>
      <c r="I41" s="645" t="s">
        <v>262</v>
      </c>
      <c r="J41" s="643" t="s">
        <v>250</v>
      </c>
      <c r="K41" s="643">
        <v>3</v>
      </c>
      <c r="L41" s="367"/>
      <c r="M41" s="367" t="s">
        <v>363</v>
      </c>
    </row>
    <row r="42" spans="1:13" x14ac:dyDescent="0.25">
      <c r="A42" s="400">
        <f t="shared" si="1"/>
        <v>100039</v>
      </c>
      <c r="B42" s="405" t="s">
        <v>28</v>
      </c>
      <c r="C42" s="402" t="s">
        <v>97</v>
      </c>
      <c r="D42" s="403">
        <v>2840</v>
      </c>
      <c r="E42" s="404">
        <f t="shared" si="0"/>
        <v>0.5</v>
      </c>
      <c r="F42" s="415">
        <f t="shared" si="2"/>
        <v>39</v>
      </c>
      <c r="G42" s="367" t="s">
        <v>163</v>
      </c>
      <c r="H42" s="645">
        <f>+('RED DISTRIBUCION MES 1'!$H$58/88)*25%</f>
        <v>13975613.229843169</v>
      </c>
      <c r="I42" s="645" t="s">
        <v>262</v>
      </c>
      <c r="J42" s="643" t="s">
        <v>253</v>
      </c>
      <c r="K42" s="643">
        <v>1</v>
      </c>
      <c r="L42" s="367" t="s">
        <v>267</v>
      </c>
      <c r="M42" s="367" t="s">
        <v>364</v>
      </c>
    </row>
    <row r="43" spans="1:13" x14ac:dyDescent="0.25">
      <c r="A43" s="400">
        <f t="shared" si="1"/>
        <v>100040</v>
      </c>
      <c r="B43" s="405" t="s">
        <v>29</v>
      </c>
      <c r="C43" s="402" t="s">
        <v>97</v>
      </c>
      <c r="D43" s="403">
        <v>3800</v>
      </c>
      <c r="E43" s="404">
        <f t="shared" si="0"/>
        <v>0.4</v>
      </c>
      <c r="F43" s="415">
        <f t="shared" si="2"/>
        <v>40</v>
      </c>
      <c r="G43" s="367" t="s">
        <v>163</v>
      </c>
      <c r="H43" s="645">
        <f>+('RED DISTRIBUCION MES 1'!$H$58/88)*25%</f>
        <v>13975613.229843169</v>
      </c>
      <c r="I43" s="645" t="s">
        <v>262</v>
      </c>
      <c r="J43" s="643" t="s">
        <v>251</v>
      </c>
      <c r="K43" s="643">
        <v>1</v>
      </c>
      <c r="L43" s="367"/>
      <c r="M43" s="367" t="s">
        <v>365</v>
      </c>
    </row>
    <row r="44" spans="1:13" x14ac:dyDescent="0.25">
      <c r="A44" s="406">
        <f t="shared" si="1"/>
        <v>100041</v>
      </c>
      <c r="B44" s="407" t="s">
        <v>106</v>
      </c>
      <c r="C44" s="408" t="s">
        <v>108</v>
      </c>
      <c r="D44" s="409">
        <v>3440</v>
      </c>
      <c r="E44" s="412">
        <f t="shared" si="0"/>
        <v>0.5</v>
      </c>
      <c r="F44" s="415">
        <f t="shared" si="2"/>
        <v>41</v>
      </c>
      <c r="G44" s="367" t="s">
        <v>163</v>
      </c>
      <c r="H44" s="645">
        <f>+('RED DISTRIBUCION MES 1'!$H$58/88)*25%</f>
        <v>13975613.229843169</v>
      </c>
      <c r="I44" s="645" t="s">
        <v>262</v>
      </c>
      <c r="J44" s="643" t="s">
        <v>251</v>
      </c>
      <c r="K44" s="643">
        <v>2</v>
      </c>
      <c r="L44" s="367"/>
      <c r="M44" s="367" t="s">
        <v>366</v>
      </c>
    </row>
    <row r="45" spans="1:13" x14ac:dyDescent="0.25">
      <c r="A45" s="406">
        <f t="shared" si="1"/>
        <v>100042</v>
      </c>
      <c r="B45" s="407" t="s">
        <v>106</v>
      </c>
      <c r="C45" s="408" t="s">
        <v>108</v>
      </c>
      <c r="D45" s="409">
        <v>2060</v>
      </c>
      <c r="E45" s="412">
        <f t="shared" si="0"/>
        <v>0.5</v>
      </c>
      <c r="F45" s="415">
        <f t="shared" si="2"/>
        <v>42</v>
      </c>
      <c r="G45" s="367" t="s">
        <v>163</v>
      </c>
      <c r="H45" s="645">
        <f>+('RED DISTRIBUCION MES 1'!$H$58/88)*25%</f>
        <v>13975613.229843169</v>
      </c>
      <c r="I45" s="645" t="s">
        <v>262</v>
      </c>
      <c r="J45" s="643" t="s">
        <v>251</v>
      </c>
      <c r="K45" s="643">
        <v>3</v>
      </c>
      <c r="L45" s="367"/>
      <c r="M45" s="367" t="s">
        <v>367</v>
      </c>
    </row>
    <row r="46" spans="1:13" ht="22.5" x14ac:dyDescent="0.25">
      <c r="A46" s="406">
        <f t="shared" si="1"/>
        <v>100043</v>
      </c>
      <c r="B46" s="407" t="s">
        <v>112</v>
      </c>
      <c r="C46" s="408" t="s">
        <v>108</v>
      </c>
      <c r="D46" s="409">
        <v>2810</v>
      </c>
      <c r="E46" s="412">
        <f t="shared" si="0"/>
        <v>0.5</v>
      </c>
      <c r="F46" s="415">
        <f t="shared" si="2"/>
        <v>43</v>
      </c>
      <c r="G46" s="367" t="s">
        <v>163</v>
      </c>
      <c r="H46" s="645">
        <f>+('RED DISTRIBUCION MES 1'!$H$58/88)*25%</f>
        <v>13975613.229843169</v>
      </c>
      <c r="I46" s="645" t="s">
        <v>262</v>
      </c>
      <c r="J46" s="643" t="s">
        <v>251</v>
      </c>
      <c r="K46" s="643">
        <v>4</v>
      </c>
      <c r="L46" s="367"/>
      <c r="M46" s="367" t="s">
        <v>368</v>
      </c>
    </row>
    <row r="47" spans="1:13" ht="22.5" x14ac:dyDescent="0.25">
      <c r="A47" s="406">
        <f t="shared" si="1"/>
        <v>100044</v>
      </c>
      <c r="B47" s="407" t="s">
        <v>113</v>
      </c>
      <c r="C47" s="408" t="s">
        <v>108</v>
      </c>
      <c r="D47" s="409">
        <v>4140</v>
      </c>
      <c r="E47" s="412">
        <f t="shared" si="0"/>
        <v>0.4</v>
      </c>
      <c r="F47" s="415">
        <f t="shared" si="2"/>
        <v>44</v>
      </c>
      <c r="G47" s="367" t="s">
        <v>163</v>
      </c>
      <c r="H47" s="645">
        <f>+('RED DISTRIBUCION MES 1'!$H$58/88)*25%</f>
        <v>13975613.229843169</v>
      </c>
      <c r="I47" s="645" t="s">
        <v>262</v>
      </c>
      <c r="J47" s="643" t="s">
        <v>252</v>
      </c>
      <c r="K47" s="643">
        <v>1</v>
      </c>
      <c r="L47" s="367"/>
      <c r="M47" s="367" t="s">
        <v>369</v>
      </c>
    </row>
    <row r="48" spans="1:13" ht="22.5" x14ac:dyDescent="0.25">
      <c r="A48" s="406">
        <f t="shared" si="1"/>
        <v>100045</v>
      </c>
      <c r="B48" s="407" t="s">
        <v>116</v>
      </c>
      <c r="C48" s="408" t="s">
        <v>108</v>
      </c>
      <c r="D48" s="409">
        <v>2150</v>
      </c>
      <c r="E48" s="412">
        <f t="shared" si="0"/>
        <v>0.5</v>
      </c>
      <c r="F48" s="415">
        <f t="shared" si="2"/>
        <v>45</v>
      </c>
      <c r="G48" s="367" t="s">
        <v>163</v>
      </c>
      <c r="H48" s="645">
        <f>+('RED DISTRIBUCION MES 1'!$H$58/88)*25%</f>
        <v>13975613.229843169</v>
      </c>
      <c r="I48" s="645" t="s">
        <v>262</v>
      </c>
      <c r="J48" s="643" t="s">
        <v>252</v>
      </c>
      <c r="K48" s="643">
        <v>2</v>
      </c>
      <c r="L48" s="367"/>
      <c r="M48" s="367" t="s">
        <v>370</v>
      </c>
    </row>
    <row r="49" spans="1:13" x14ac:dyDescent="0.25">
      <c r="A49" s="406">
        <f t="shared" si="1"/>
        <v>100046</v>
      </c>
      <c r="B49" s="407" t="s">
        <v>118</v>
      </c>
      <c r="C49" s="408" t="s">
        <v>108</v>
      </c>
      <c r="D49" s="409">
        <v>2150</v>
      </c>
      <c r="E49" s="412">
        <f t="shared" si="0"/>
        <v>0.5</v>
      </c>
      <c r="F49" s="415">
        <f t="shared" si="2"/>
        <v>46</v>
      </c>
      <c r="G49" s="367" t="s">
        <v>163</v>
      </c>
      <c r="H49" s="645">
        <f>+('RED DISTRIBUCION MES 1'!$H$58/88)*25%</f>
        <v>13975613.229843169</v>
      </c>
      <c r="I49" s="645" t="s">
        <v>262</v>
      </c>
      <c r="J49" s="643" t="s">
        <v>252</v>
      </c>
      <c r="K49" s="643">
        <v>3</v>
      </c>
      <c r="L49" s="367"/>
      <c r="M49" s="367" t="s">
        <v>371</v>
      </c>
    </row>
    <row r="50" spans="1:13" x14ac:dyDescent="0.25">
      <c r="A50" s="406">
        <f t="shared" si="1"/>
        <v>100047</v>
      </c>
      <c r="B50" s="407" t="s">
        <v>119</v>
      </c>
      <c r="C50" s="408" t="s">
        <v>108</v>
      </c>
      <c r="D50" s="409">
        <v>4080</v>
      </c>
      <c r="E50" s="412">
        <f t="shared" si="0"/>
        <v>0.4</v>
      </c>
      <c r="F50" s="415">
        <f t="shared" si="2"/>
        <v>47</v>
      </c>
      <c r="G50" s="367" t="s">
        <v>163</v>
      </c>
      <c r="H50" s="645">
        <f>+('RED DISTRIBUCION MES 1'!$H$58/88)*25%</f>
        <v>13975613.229843169</v>
      </c>
      <c r="I50" s="645" t="s">
        <v>262</v>
      </c>
      <c r="J50" s="643" t="s">
        <v>252</v>
      </c>
      <c r="K50" s="643">
        <v>4</v>
      </c>
      <c r="L50" s="367"/>
      <c r="M50" s="367" t="s">
        <v>372</v>
      </c>
    </row>
    <row r="51" spans="1:13" ht="33.75" x14ac:dyDescent="0.25">
      <c r="A51" s="406">
        <f t="shared" si="1"/>
        <v>100048</v>
      </c>
      <c r="B51" s="407" t="s">
        <v>122</v>
      </c>
      <c r="C51" s="408" t="s">
        <v>108</v>
      </c>
      <c r="D51" s="409">
        <v>5560</v>
      </c>
      <c r="E51" s="412">
        <f t="shared" si="0"/>
        <v>0.4</v>
      </c>
      <c r="F51" s="415">
        <f t="shared" si="2"/>
        <v>48</v>
      </c>
      <c r="G51" s="367" t="s">
        <v>163</v>
      </c>
      <c r="H51" s="645">
        <f>+('RED DISTRIBUCION MES 1'!$H$58/88)*25%</f>
        <v>13975613.229843169</v>
      </c>
      <c r="I51" s="645" t="s">
        <v>262</v>
      </c>
      <c r="J51" s="643" t="s">
        <v>253</v>
      </c>
      <c r="K51" s="643">
        <v>2</v>
      </c>
      <c r="L51" s="367" t="s">
        <v>268</v>
      </c>
      <c r="M51" s="367" t="s">
        <v>373</v>
      </c>
    </row>
    <row r="52" spans="1:13" x14ac:dyDescent="0.25">
      <c r="F52" s="415">
        <f t="shared" si="2"/>
        <v>49</v>
      </c>
      <c r="G52" s="367" t="s">
        <v>163</v>
      </c>
      <c r="H52" s="645">
        <f>+('RED DISTRIBUCION MES 1'!$H$58/88)*25%</f>
        <v>13975613.229843169</v>
      </c>
      <c r="I52" s="645" t="s">
        <v>262</v>
      </c>
      <c r="J52" s="643" t="s">
        <v>253</v>
      </c>
      <c r="K52" s="643">
        <v>3</v>
      </c>
      <c r="L52" s="367" t="s">
        <v>269</v>
      </c>
      <c r="M52" s="367" t="s">
        <v>374</v>
      </c>
    </row>
    <row r="53" spans="1:13" x14ac:dyDescent="0.25">
      <c r="F53" s="415">
        <f t="shared" si="2"/>
        <v>50</v>
      </c>
      <c r="G53" s="367" t="s">
        <v>163</v>
      </c>
      <c r="H53" s="645">
        <f>+('RED DISTRIBUCION MES 1'!$H$58/88)*25%</f>
        <v>13975613.229843169</v>
      </c>
      <c r="I53" s="645" t="s">
        <v>262</v>
      </c>
      <c r="J53" s="643" t="s">
        <v>253</v>
      </c>
      <c r="K53" s="643">
        <v>4</v>
      </c>
      <c r="L53" s="367" t="s">
        <v>270</v>
      </c>
      <c r="M53" s="367" t="s">
        <v>270</v>
      </c>
    </row>
    <row r="54" spans="1:13" x14ac:dyDescent="0.25">
      <c r="F54" s="415">
        <f t="shared" si="2"/>
        <v>51</v>
      </c>
      <c r="G54" s="367" t="s">
        <v>163</v>
      </c>
      <c r="H54" s="645">
        <f>+('RED DISTRIBUCION MES 1'!$H$58/88)*25%</f>
        <v>13975613.229843169</v>
      </c>
      <c r="I54" s="645" t="s">
        <v>262</v>
      </c>
      <c r="J54" s="643" t="s">
        <v>253</v>
      </c>
      <c r="K54" s="643">
        <v>5</v>
      </c>
      <c r="L54" s="367" t="s">
        <v>271</v>
      </c>
      <c r="M54" s="367" t="s">
        <v>375</v>
      </c>
    </row>
    <row r="55" spans="1:13" x14ac:dyDescent="0.25">
      <c r="F55" s="415">
        <f t="shared" si="2"/>
        <v>52</v>
      </c>
      <c r="G55" s="367" t="s">
        <v>163</v>
      </c>
      <c r="H55" s="645">
        <f>+('RED DISTRIBUCION MES 1'!$H$58/88)*25%</f>
        <v>13975613.229843169</v>
      </c>
      <c r="I55" s="645" t="s">
        <v>262</v>
      </c>
      <c r="J55" s="643" t="s">
        <v>253</v>
      </c>
      <c r="K55" s="643">
        <v>6</v>
      </c>
      <c r="L55" s="367" t="s">
        <v>272</v>
      </c>
      <c r="M55" s="367" t="s">
        <v>376</v>
      </c>
    </row>
    <row r="56" spans="1:13" x14ac:dyDescent="0.25">
      <c r="F56" s="415">
        <f t="shared" si="2"/>
        <v>53</v>
      </c>
      <c r="G56" s="367" t="s">
        <v>163</v>
      </c>
      <c r="H56" s="645">
        <f>+('RED DISTRIBUCION MES 1'!$H$58/88)*25%</f>
        <v>13975613.229843169</v>
      </c>
      <c r="I56" s="645" t="s">
        <v>262</v>
      </c>
      <c r="J56" s="643" t="s">
        <v>263</v>
      </c>
      <c r="K56" s="643">
        <v>1</v>
      </c>
      <c r="L56" s="367"/>
      <c r="M56" s="367" t="s">
        <v>377</v>
      </c>
    </row>
    <row r="57" spans="1:13" x14ac:dyDescent="0.25">
      <c r="F57" s="415">
        <f t="shared" si="2"/>
        <v>54</v>
      </c>
      <c r="G57" s="367" t="s">
        <v>163</v>
      </c>
      <c r="H57" s="645">
        <f>+('RED DISTRIBUCION MES 1'!$H$58/88)*25%</f>
        <v>13975613.229843169</v>
      </c>
      <c r="I57" s="645" t="s">
        <v>262</v>
      </c>
      <c r="J57" s="643" t="s">
        <v>254</v>
      </c>
      <c r="K57" s="643">
        <v>1</v>
      </c>
      <c r="L57" s="367"/>
      <c r="M57" s="367" t="s">
        <v>378</v>
      </c>
    </row>
    <row r="58" spans="1:13" x14ac:dyDescent="0.25">
      <c r="F58" s="415">
        <f t="shared" si="2"/>
        <v>55</v>
      </c>
      <c r="G58" s="367" t="s">
        <v>163</v>
      </c>
      <c r="H58" s="645">
        <f>+('RED DISTRIBUCION MES 1'!$H$58/88)*25%</f>
        <v>13975613.229843169</v>
      </c>
      <c r="I58" s="645" t="s">
        <v>262</v>
      </c>
      <c r="J58" s="643" t="s">
        <v>254</v>
      </c>
      <c r="K58" s="643">
        <v>2</v>
      </c>
      <c r="L58" s="367"/>
      <c r="M58" s="367" t="s">
        <v>379</v>
      </c>
    </row>
    <row r="59" spans="1:13" x14ac:dyDescent="0.25">
      <c r="F59" s="415">
        <f t="shared" si="2"/>
        <v>56</v>
      </c>
      <c r="G59" s="367" t="s">
        <v>163</v>
      </c>
      <c r="H59" s="645">
        <f>+('RED DISTRIBUCION MES 1'!$H$58/88)*25%</f>
        <v>13975613.229843169</v>
      </c>
      <c r="I59" s="645" t="s">
        <v>262</v>
      </c>
      <c r="J59" s="643" t="s">
        <v>254</v>
      </c>
      <c r="K59" s="643">
        <v>3</v>
      </c>
      <c r="L59" s="367"/>
      <c r="M59" s="367" t="s">
        <v>380</v>
      </c>
    </row>
    <row r="60" spans="1:13" x14ac:dyDescent="0.25">
      <c r="F60" s="415">
        <f t="shared" si="2"/>
        <v>57</v>
      </c>
      <c r="G60" s="367" t="s">
        <v>163</v>
      </c>
      <c r="H60" s="645">
        <f>+('RED DISTRIBUCION MES 1'!$H$58/88)*25%</f>
        <v>13975613.229843169</v>
      </c>
      <c r="I60" s="645" t="s">
        <v>262</v>
      </c>
      <c r="J60" s="643" t="s">
        <v>254</v>
      </c>
      <c r="K60" s="643">
        <v>4</v>
      </c>
      <c r="L60" s="367"/>
      <c r="M60" s="367" t="s">
        <v>381</v>
      </c>
    </row>
    <row r="61" spans="1:13" x14ac:dyDescent="0.25">
      <c r="F61" s="415">
        <f t="shared" si="2"/>
        <v>58</v>
      </c>
      <c r="G61" s="367" t="s">
        <v>163</v>
      </c>
      <c r="H61" s="645">
        <f>+('RED DISTRIBUCION MES 1'!$H$58/88)*25%</f>
        <v>13975613.229843169</v>
      </c>
      <c r="I61" s="645" t="s">
        <v>262</v>
      </c>
      <c r="J61" s="643" t="s">
        <v>255</v>
      </c>
      <c r="K61" s="643">
        <v>1</v>
      </c>
      <c r="L61" s="367"/>
      <c r="M61" s="367" t="s">
        <v>382</v>
      </c>
    </row>
    <row r="62" spans="1:13" x14ac:dyDescent="0.25">
      <c r="F62" s="415">
        <f t="shared" si="2"/>
        <v>59</v>
      </c>
      <c r="G62" s="367" t="s">
        <v>163</v>
      </c>
      <c r="H62" s="645">
        <f>+('RED DISTRIBUCION MES 1'!$H$58/88)*25%</f>
        <v>13975613.229843169</v>
      </c>
      <c r="I62" s="645" t="s">
        <v>262</v>
      </c>
      <c r="J62" s="643" t="s">
        <v>255</v>
      </c>
      <c r="K62" s="643">
        <v>2</v>
      </c>
      <c r="L62" s="367"/>
      <c r="M62" s="367" t="s">
        <v>383</v>
      </c>
    </row>
    <row r="63" spans="1:13" x14ac:dyDescent="0.25">
      <c r="F63" s="415">
        <f t="shared" si="2"/>
        <v>60</v>
      </c>
      <c r="G63" s="367" t="s">
        <v>163</v>
      </c>
      <c r="H63" s="645">
        <f>+('RED DISTRIBUCION MES 1'!$H$58/88)*25%</f>
        <v>13975613.229843169</v>
      </c>
      <c r="I63" s="645" t="s">
        <v>262</v>
      </c>
      <c r="J63" s="643" t="s">
        <v>255</v>
      </c>
      <c r="K63" s="643">
        <v>3</v>
      </c>
      <c r="L63" s="367"/>
      <c r="M63" s="367" t="s">
        <v>384</v>
      </c>
    </row>
    <row r="64" spans="1:13" x14ac:dyDescent="0.25">
      <c r="F64" s="415">
        <f t="shared" si="2"/>
        <v>61</v>
      </c>
      <c r="G64" s="367" t="s">
        <v>163</v>
      </c>
      <c r="H64" s="645">
        <f>+('RED DISTRIBUCION MES 1'!$H$58/88)*25%</f>
        <v>13975613.229843169</v>
      </c>
      <c r="I64" s="645" t="s">
        <v>262</v>
      </c>
      <c r="J64" s="643" t="s">
        <v>255</v>
      </c>
      <c r="K64" s="643">
        <v>4</v>
      </c>
      <c r="L64" s="367"/>
      <c r="M64" s="367" t="s">
        <v>385</v>
      </c>
    </row>
    <row r="65" spans="6:13" x14ac:dyDescent="0.25">
      <c r="F65" s="415">
        <f t="shared" si="2"/>
        <v>62</v>
      </c>
      <c r="G65" s="367" t="s">
        <v>163</v>
      </c>
      <c r="H65" s="645">
        <f>+('RED DISTRIBUCION MES 1'!$H$58/88)*25%</f>
        <v>13975613.229843169</v>
      </c>
      <c r="I65" s="645" t="s">
        <v>262</v>
      </c>
      <c r="J65" s="643" t="s">
        <v>256</v>
      </c>
      <c r="K65" s="643">
        <v>1</v>
      </c>
      <c r="L65" s="367"/>
      <c r="M65" s="367" t="s">
        <v>386</v>
      </c>
    </row>
    <row r="66" spans="6:13" x14ac:dyDescent="0.25">
      <c r="F66" s="415">
        <f t="shared" si="2"/>
        <v>63</v>
      </c>
      <c r="G66" s="367" t="s">
        <v>163</v>
      </c>
      <c r="H66" s="645">
        <f>+('RED DISTRIBUCION MES 1'!$H$58/88)*25%</f>
        <v>13975613.229843169</v>
      </c>
      <c r="I66" s="645" t="s">
        <v>262</v>
      </c>
      <c r="J66" s="643" t="s">
        <v>256</v>
      </c>
      <c r="K66" s="643">
        <v>2</v>
      </c>
      <c r="L66" s="367"/>
      <c r="M66" s="367" t="s">
        <v>387</v>
      </c>
    </row>
    <row r="67" spans="6:13" x14ac:dyDescent="0.25">
      <c r="F67" s="415">
        <f t="shared" si="2"/>
        <v>64</v>
      </c>
      <c r="G67" s="367" t="s">
        <v>163</v>
      </c>
      <c r="H67" s="645">
        <f>+('RED DISTRIBUCION MES 1'!$H$58/88)*25%</f>
        <v>13975613.229843169</v>
      </c>
      <c r="I67" s="645" t="s">
        <v>262</v>
      </c>
      <c r="J67" s="643" t="s">
        <v>256</v>
      </c>
      <c r="K67" s="643">
        <v>3</v>
      </c>
      <c r="L67" s="367"/>
      <c r="M67" s="367" t="s">
        <v>388</v>
      </c>
    </row>
    <row r="68" spans="6:13" x14ac:dyDescent="0.25">
      <c r="F68" s="415">
        <f t="shared" si="2"/>
        <v>65</v>
      </c>
      <c r="G68" s="367" t="s">
        <v>163</v>
      </c>
      <c r="H68" s="645">
        <f>+('RED DISTRIBUCION MES 1'!$H$58/88)*25%</f>
        <v>13975613.229843169</v>
      </c>
      <c r="I68" s="645" t="s">
        <v>262</v>
      </c>
      <c r="J68" s="643" t="s">
        <v>256</v>
      </c>
      <c r="K68" s="643">
        <v>4</v>
      </c>
      <c r="L68" s="367"/>
      <c r="M68" s="367" t="s">
        <v>389</v>
      </c>
    </row>
    <row r="69" spans="6:13" x14ac:dyDescent="0.25">
      <c r="F69" s="415">
        <f t="shared" si="2"/>
        <v>66</v>
      </c>
      <c r="G69" s="367" t="s">
        <v>163</v>
      </c>
      <c r="H69" s="645">
        <f>+('RED DISTRIBUCION MES 1'!$H$58/88)*25%</f>
        <v>13975613.229843169</v>
      </c>
      <c r="I69" s="645" t="s">
        <v>262</v>
      </c>
      <c r="J69" s="643" t="s">
        <v>257</v>
      </c>
      <c r="K69" s="643">
        <v>1</v>
      </c>
      <c r="L69" s="367"/>
      <c r="M69" s="367" t="s">
        <v>390</v>
      </c>
    </row>
    <row r="70" spans="6:13" x14ac:dyDescent="0.25">
      <c r="F70" s="415">
        <f t="shared" ref="F70:F91" si="3">+F69+1</f>
        <v>67</v>
      </c>
      <c r="G70" s="367" t="s">
        <v>163</v>
      </c>
      <c r="H70" s="645">
        <f>+('RED DISTRIBUCION MES 1'!$H$58/88)*25%</f>
        <v>13975613.229843169</v>
      </c>
      <c r="I70" s="645" t="s">
        <v>262</v>
      </c>
      <c r="J70" s="643" t="s">
        <v>257</v>
      </c>
      <c r="K70" s="643">
        <v>2</v>
      </c>
      <c r="L70" s="367"/>
      <c r="M70" s="367" t="s">
        <v>391</v>
      </c>
    </row>
    <row r="71" spans="6:13" x14ac:dyDescent="0.25">
      <c r="F71" s="415">
        <f t="shared" si="3"/>
        <v>68</v>
      </c>
      <c r="G71" s="367" t="s">
        <v>163</v>
      </c>
      <c r="H71" s="645">
        <f>+('RED DISTRIBUCION MES 1'!$H$58/88)*25%</f>
        <v>13975613.229843169</v>
      </c>
      <c r="I71" s="645" t="s">
        <v>262</v>
      </c>
      <c r="J71" s="643" t="s">
        <v>257</v>
      </c>
      <c r="K71" s="643">
        <v>3</v>
      </c>
      <c r="L71" s="367"/>
      <c r="M71" s="367" t="s">
        <v>392</v>
      </c>
    </row>
    <row r="72" spans="6:13" x14ac:dyDescent="0.25">
      <c r="F72" s="415">
        <f t="shared" si="3"/>
        <v>69</v>
      </c>
      <c r="G72" s="367" t="s">
        <v>163</v>
      </c>
      <c r="H72" s="645">
        <f>+('RED DISTRIBUCION MES 1'!$H$58/88)*25%</f>
        <v>13975613.229843169</v>
      </c>
      <c r="I72" s="645" t="s">
        <v>262</v>
      </c>
      <c r="J72" s="643" t="s">
        <v>257</v>
      </c>
      <c r="K72" s="643">
        <v>4</v>
      </c>
      <c r="L72" s="367"/>
      <c r="M72" s="367" t="s">
        <v>393</v>
      </c>
    </row>
    <row r="73" spans="6:13" x14ac:dyDescent="0.25">
      <c r="F73" s="415">
        <f t="shared" si="3"/>
        <v>70</v>
      </c>
      <c r="G73" s="367" t="s">
        <v>163</v>
      </c>
      <c r="H73" s="645">
        <f>+('RED DISTRIBUCION MES 1'!$H$58/88)*25%</f>
        <v>13975613.229843169</v>
      </c>
      <c r="I73" s="645" t="s">
        <v>262</v>
      </c>
      <c r="J73" s="643" t="s">
        <v>258</v>
      </c>
      <c r="K73" s="643">
        <v>1</v>
      </c>
      <c r="L73" s="367"/>
      <c r="M73" s="367" t="s">
        <v>394</v>
      </c>
    </row>
    <row r="74" spans="6:13" x14ac:dyDescent="0.25">
      <c r="F74" s="415">
        <f t="shared" si="3"/>
        <v>71</v>
      </c>
      <c r="G74" s="367" t="s">
        <v>163</v>
      </c>
      <c r="H74" s="645">
        <f>+('RED DISTRIBUCION MES 1'!$H$58/88)*25%</f>
        <v>13975613.229843169</v>
      </c>
      <c r="I74" s="645" t="s">
        <v>262</v>
      </c>
      <c r="J74" s="643" t="s">
        <v>258</v>
      </c>
      <c r="K74" s="643">
        <v>2</v>
      </c>
      <c r="L74" s="367"/>
      <c r="M74" s="367" t="s">
        <v>395</v>
      </c>
    </row>
    <row r="75" spans="6:13" x14ac:dyDescent="0.25">
      <c r="F75" s="415">
        <f t="shared" si="3"/>
        <v>72</v>
      </c>
      <c r="G75" s="367" t="s">
        <v>163</v>
      </c>
      <c r="H75" s="645">
        <f>+('RED DISTRIBUCION MES 1'!$H$58/88)*25%</f>
        <v>13975613.229843169</v>
      </c>
      <c r="I75" s="645" t="s">
        <v>262</v>
      </c>
      <c r="J75" s="643" t="s">
        <v>258</v>
      </c>
      <c r="K75" s="643">
        <v>3</v>
      </c>
      <c r="L75" s="367"/>
      <c r="M75" s="367" t="s">
        <v>396</v>
      </c>
    </row>
    <row r="76" spans="6:13" x14ac:dyDescent="0.25">
      <c r="F76" s="415">
        <f t="shared" si="3"/>
        <v>73</v>
      </c>
      <c r="G76" s="367" t="s">
        <v>163</v>
      </c>
      <c r="H76" s="645">
        <f>+('RED DISTRIBUCION MES 1'!$H$58/88)*25%</f>
        <v>13975613.229843169</v>
      </c>
      <c r="I76" s="645" t="s">
        <v>262</v>
      </c>
      <c r="J76" s="643" t="s">
        <v>258</v>
      </c>
      <c r="K76" s="643">
        <v>4</v>
      </c>
      <c r="L76" s="367"/>
      <c r="M76" s="367" t="s">
        <v>397</v>
      </c>
    </row>
    <row r="77" spans="6:13" x14ac:dyDescent="0.25">
      <c r="F77" s="415">
        <f t="shared" si="3"/>
        <v>74</v>
      </c>
      <c r="G77" s="367" t="s">
        <v>163</v>
      </c>
      <c r="H77" s="645">
        <f>+('RED DISTRIBUCION MES 1'!$H$58/88)*25%</f>
        <v>13975613.229843169</v>
      </c>
      <c r="I77" s="645" t="s">
        <v>262</v>
      </c>
      <c r="J77" s="643" t="s">
        <v>259</v>
      </c>
      <c r="K77" s="643">
        <v>1</v>
      </c>
      <c r="L77" s="367"/>
      <c r="M77" s="367" t="s">
        <v>398</v>
      </c>
    </row>
    <row r="78" spans="6:13" x14ac:dyDescent="0.25">
      <c r="F78" s="415">
        <f t="shared" si="3"/>
        <v>75</v>
      </c>
      <c r="G78" s="367" t="s">
        <v>163</v>
      </c>
      <c r="H78" s="645">
        <f>+('RED DISTRIBUCION MES 1'!$H$58/88)*25%</f>
        <v>13975613.229843169</v>
      </c>
      <c r="I78" s="645" t="s">
        <v>262</v>
      </c>
      <c r="J78" s="643" t="s">
        <v>259</v>
      </c>
      <c r="K78" s="643">
        <v>2</v>
      </c>
      <c r="L78" s="367"/>
      <c r="M78" s="367" t="s">
        <v>399</v>
      </c>
    </row>
    <row r="79" spans="6:13" x14ac:dyDescent="0.25">
      <c r="F79" s="415">
        <f t="shared" si="3"/>
        <v>76</v>
      </c>
      <c r="G79" s="367" t="s">
        <v>163</v>
      </c>
      <c r="H79" s="645">
        <f>+('RED DISTRIBUCION MES 1'!$H$58/88)*25%</f>
        <v>13975613.229843169</v>
      </c>
      <c r="I79" s="645" t="s">
        <v>262</v>
      </c>
      <c r="J79" s="643" t="s">
        <v>259</v>
      </c>
      <c r="K79" s="643">
        <v>3</v>
      </c>
      <c r="L79" s="367"/>
      <c r="M79" s="367" t="s">
        <v>400</v>
      </c>
    </row>
    <row r="80" spans="6:13" x14ac:dyDescent="0.25">
      <c r="F80" s="415">
        <f t="shared" si="3"/>
        <v>77</v>
      </c>
      <c r="G80" s="367" t="s">
        <v>163</v>
      </c>
      <c r="H80" s="645">
        <f>+('RED DISTRIBUCION MES 1'!$H$58/88)*25%</f>
        <v>13975613.229843169</v>
      </c>
      <c r="I80" s="645" t="s">
        <v>262</v>
      </c>
      <c r="J80" s="643" t="s">
        <v>259</v>
      </c>
      <c r="K80" s="643">
        <v>4</v>
      </c>
      <c r="L80" s="367"/>
      <c r="M80" s="367" t="s">
        <v>401</v>
      </c>
    </row>
    <row r="81" spans="6:13" x14ac:dyDescent="0.25">
      <c r="F81" s="415">
        <f t="shared" si="3"/>
        <v>78</v>
      </c>
      <c r="G81" s="367" t="s">
        <v>163</v>
      </c>
      <c r="H81" s="645">
        <f>+('RED DISTRIBUCION MES 1'!$H$58/88)*25%</f>
        <v>13975613.229843169</v>
      </c>
      <c r="I81" s="645" t="s">
        <v>262</v>
      </c>
      <c r="J81" s="643" t="s">
        <v>259</v>
      </c>
      <c r="K81" s="643">
        <v>5</v>
      </c>
      <c r="L81" s="367"/>
      <c r="M81" s="367" t="s">
        <v>402</v>
      </c>
    </row>
    <row r="82" spans="6:13" x14ac:dyDescent="0.25">
      <c r="F82" s="415">
        <f t="shared" si="3"/>
        <v>79</v>
      </c>
      <c r="G82" s="367" t="s">
        <v>163</v>
      </c>
      <c r="H82" s="645">
        <f>+('RED DISTRIBUCION MES 1'!$H$58/88)*25%</f>
        <v>13975613.229843169</v>
      </c>
      <c r="I82" s="645" t="s">
        <v>262</v>
      </c>
      <c r="J82" s="643" t="s">
        <v>263</v>
      </c>
      <c r="K82" s="643">
        <v>1</v>
      </c>
      <c r="L82" s="367"/>
      <c r="M82" s="367" t="s">
        <v>403</v>
      </c>
    </row>
    <row r="83" spans="6:13" x14ac:dyDescent="0.25">
      <c r="F83" s="415">
        <f t="shared" si="3"/>
        <v>80</v>
      </c>
      <c r="G83" s="367" t="s">
        <v>163</v>
      </c>
      <c r="H83" s="645">
        <f>+('RED DISTRIBUCION MES 1'!$H$58/88)*25%</f>
        <v>13975613.229843169</v>
      </c>
      <c r="I83" s="645" t="s">
        <v>262</v>
      </c>
      <c r="J83" s="643" t="s">
        <v>260</v>
      </c>
      <c r="K83" s="643">
        <v>1</v>
      </c>
      <c r="L83" s="367"/>
      <c r="M83" s="367" t="s">
        <v>404</v>
      </c>
    </row>
    <row r="84" spans="6:13" x14ac:dyDescent="0.25">
      <c r="F84" s="415">
        <f t="shared" si="3"/>
        <v>81</v>
      </c>
      <c r="G84" s="367" t="s">
        <v>163</v>
      </c>
      <c r="H84" s="645">
        <f>+('RED DISTRIBUCION MES 1'!$H$58/88)*25%</f>
        <v>13975613.229843169</v>
      </c>
      <c r="I84" s="645" t="s">
        <v>262</v>
      </c>
      <c r="J84" s="643" t="s">
        <v>260</v>
      </c>
      <c r="K84" s="643">
        <v>2</v>
      </c>
      <c r="L84" s="367"/>
      <c r="M84" s="367" t="s">
        <v>405</v>
      </c>
    </row>
    <row r="85" spans="6:13" x14ac:dyDescent="0.25">
      <c r="F85" s="415">
        <f t="shared" si="3"/>
        <v>82</v>
      </c>
      <c r="G85" s="367" t="s">
        <v>163</v>
      </c>
      <c r="H85" s="645">
        <f>+('RED DISTRIBUCION MES 1'!$H$58/88)*25%</f>
        <v>13975613.229843169</v>
      </c>
      <c r="I85" s="645" t="s">
        <v>262</v>
      </c>
      <c r="J85" s="643" t="s">
        <v>260</v>
      </c>
      <c r="K85" s="643">
        <v>3</v>
      </c>
      <c r="L85" s="367"/>
      <c r="M85" s="367" t="s">
        <v>406</v>
      </c>
    </row>
    <row r="86" spans="6:13" x14ac:dyDescent="0.25">
      <c r="F86" s="415">
        <f t="shared" si="3"/>
        <v>83</v>
      </c>
      <c r="G86" s="367" t="s">
        <v>163</v>
      </c>
      <c r="H86" s="645">
        <f>+('RED DISTRIBUCION MES 1'!$H$58/88)*25%</f>
        <v>13975613.229843169</v>
      </c>
      <c r="I86" s="645" t="s">
        <v>262</v>
      </c>
      <c r="J86" s="643" t="s">
        <v>260</v>
      </c>
      <c r="K86" s="643">
        <v>4</v>
      </c>
      <c r="L86" s="367"/>
      <c r="M86" s="367" t="s">
        <v>407</v>
      </c>
    </row>
    <row r="87" spans="6:13" x14ac:dyDescent="0.25">
      <c r="F87" s="415">
        <f t="shared" si="3"/>
        <v>84</v>
      </c>
      <c r="G87" s="367" t="s">
        <v>163</v>
      </c>
      <c r="H87" s="645">
        <f>+('RED DISTRIBUCION MES 1'!$H$58/88)*25%</f>
        <v>13975613.229843169</v>
      </c>
      <c r="I87" s="645" t="s">
        <v>262</v>
      </c>
      <c r="J87" s="643" t="s">
        <v>261</v>
      </c>
      <c r="K87" s="643">
        <v>1</v>
      </c>
      <c r="L87" s="367"/>
      <c r="M87" s="367"/>
    </row>
    <row r="88" spans="6:13" x14ac:dyDescent="0.25">
      <c r="F88" s="415">
        <f t="shared" si="3"/>
        <v>85</v>
      </c>
      <c r="G88" s="367" t="s">
        <v>163</v>
      </c>
      <c r="H88" s="645">
        <f>+('RED DISTRIBUCION MES 1'!$H$58/88)*25%</f>
        <v>13975613.229843169</v>
      </c>
      <c r="I88" s="645" t="s">
        <v>262</v>
      </c>
      <c r="J88" s="643" t="s">
        <v>246</v>
      </c>
      <c r="K88" s="643">
        <v>7</v>
      </c>
      <c r="L88" s="367"/>
      <c r="M88" s="367" t="s">
        <v>408</v>
      </c>
    </row>
    <row r="89" spans="6:13" x14ac:dyDescent="0.25">
      <c r="F89" s="415">
        <f t="shared" si="3"/>
        <v>86</v>
      </c>
      <c r="G89" s="367" t="s">
        <v>163</v>
      </c>
      <c r="H89" s="645">
        <f>+('RED DISTRIBUCION MES 1'!$H$58/88)*25%</f>
        <v>13975613.229843169</v>
      </c>
      <c r="I89" s="645" t="s">
        <v>262</v>
      </c>
      <c r="J89" s="643" t="s">
        <v>248</v>
      </c>
      <c r="K89" s="643">
        <v>7</v>
      </c>
      <c r="L89" s="367"/>
      <c r="M89" s="367" t="s">
        <v>409</v>
      </c>
    </row>
    <row r="90" spans="6:13" x14ac:dyDescent="0.25">
      <c r="F90" s="415">
        <f t="shared" si="3"/>
        <v>87</v>
      </c>
      <c r="G90" s="367" t="s">
        <v>163</v>
      </c>
      <c r="H90" s="645">
        <f>+('RED DISTRIBUCION MES 1'!$H$58/88)*25%</f>
        <v>13975613.229843169</v>
      </c>
      <c r="I90" s="645" t="s">
        <v>262</v>
      </c>
      <c r="J90" s="643" t="s">
        <v>247</v>
      </c>
      <c r="K90" s="643">
        <v>5</v>
      </c>
      <c r="L90" s="367"/>
      <c r="M90" s="367" t="s">
        <v>410</v>
      </c>
    </row>
    <row r="91" spans="6:13" ht="15.75" thickBot="1" x14ac:dyDescent="0.3">
      <c r="F91" s="416">
        <f t="shared" si="3"/>
        <v>88</v>
      </c>
      <c r="G91" s="417" t="s">
        <v>163</v>
      </c>
      <c r="H91" s="645">
        <f>+('RED DISTRIBUCION MES 1'!$H$58/88)*25%</f>
        <v>13975613.229843169</v>
      </c>
      <c r="I91" s="645" t="s">
        <v>262</v>
      </c>
      <c r="J91" s="643" t="s">
        <v>259</v>
      </c>
      <c r="K91" s="643">
        <v>7</v>
      </c>
      <c r="L91" s="367"/>
      <c r="M91" s="367" t="s">
        <v>411</v>
      </c>
    </row>
    <row r="92" spans="6:13" hidden="1" x14ac:dyDescent="0.25">
      <c r="F92" s="413">
        <f t="shared" ref="F92:F123" si="4">+F91+1</f>
        <v>89</v>
      </c>
      <c r="G92" s="413" t="s">
        <v>164</v>
      </c>
      <c r="H92" s="414">
        <f>+('RED DISTRIBUCION MES 1'!$O$58/37)*4%</f>
        <v>2127314.9651480191</v>
      </c>
      <c r="I92" s="414" t="s">
        <v>264</v>
      </c>
      <c r="J92" s="642" t="s">
        <v>256</v>
      </c>
      <c r="K92" s="642">
        <v>1</v>
      </c>
      <c r="L92" s="368" t="s">
        <v>21</v>
      </c>
      <c r="M92" s="368" t="s">
        <v>423</v>
      </c>
    </row>
    <row r="93" spans="6:13" hidden="1" x14ac:dyDescent="0.25">
      <c r="F93" s="368">
        <f t="shared" si="4"/>
        <v>90</v>
      </c>
      <c r="G93" s="368" t="s">
        <v>153</v>
      </c>
      <c r="H93" s="414">
        <f>+('RED DISTRIBUCION MES 1'!$O$58/37)*4%</f>
        <v>2127314.9651480191</v>
      </c>
      <c r="I93" s="414" t="s">
        <v>264</v>
      </c>
      <c r="J93" s="642" t="s">
        <v>256</v>
      </c>
      <c r="K93" s="642">
        <v>1</v>
      </c>
      <c r="L93" s="642" t="s">
        <v>21</v>
      </c>
      <c r="M93" s="368" t="s">
        <v>440</v>
      </c>
    </row>
    <row r="94" spans="6:13" hidden="1" x14ac:dyDescent="0.25">
      <c r="F94" s="368">
        <f t="shared" si="4"/>
        <v>91</v>
      </c>
      <c r="G94" s="368" t="s">
        <v>164</v>
      </c>
      <c r="H94" s="414">
        <f>+('RED DISTRIBUCION MES 1'!$O$58/37)*4%</f>
        <v>2127314.9651480191</v>
      </c>
      <c r="I94" s="414" t="s">
        <v>264</v>
      </c>
      <c r="J94" s="642" t="s">
        <v>251</v>
      </c>
      <c r="K94" s="642">
        <v>1</v>
      </c>
      <c r="L94" s="368" t="s">
        <v>21</v>
      </c>
      <c r="M94" s="368" t="s">
        <v>417</v>
      </c>
    </row>
    <row r="95" spans="6:13" hidden="1" x14ac:dyDescent="0.25">
      <c r="F95" s="368">
        <f t="shared" si="4"/>
        <v>92</v>
      </c>
      <c r="G95" s="368" t="s">
        <v>153</v>
      </c>
      <c r="H95" s="414">
        <f>+('RED DISTRIBUCION MES 1'!$O$58/37)*4%</f>
        <v>2127314.9651480191</v>
      </c>
      <c r="I95" s="414" t="s">
        <v>264</v>
      </c>
      <c r="J95" s="642" t="s">
        <v>251</v>
      </c>
      <c r="K95" s="642">
        <v>1</v>
      </c>
      <c r="L95" s="368"/>
      <c r="M95" s="368" t="s">
        <v>433</v>
      </c>
    </row>
    <row r="96" spans="6:13" hidden="1" x14ac:dyDescent="0.25">
      <c r="F96" s="368">
        <f t="shared" si="4"/>
        <v>93</v>
      </c>
      <c r="G96" s="368" t="s">
        <v>164</v>
      </c>
      <c r="H96" s="414">
        <f>+('RED DISTRIBUCION MES 1'!$O$58/37)*4%</f>
        <v>2127314.9651480191</v>
      </c>
      <c r="I96" s="414" t="s">
        <v>264</v>
      </c>
      <c r="J96" s="642" t="s">
        <v>248</v>
      </c>
      <c r="K96" s="642">
        <v>1</v>
      </c>
      <c r="L96" s="368"/>
      <c r="M96" s="642" t="s">
        <v>414</v>
      </c>
    </row>
    <row r="97" spans="6:13" hidden="1" x14ac:dyDescent="0.25">
      <c r="F97" s="368">
        <f t="shared" si="4"/>
        <v>94</v>
      </c>
      <c r="G97" s="368" t="s">
        <v>153</v>
      </c>
      <c r="H97" s="414">
        <f>+('RED DISTRIBUCION MES 1'!$O$58/37)*4%</f>
        <v>2127314.9651480191</v>
      </c>
      <c r="I97" s="414" t="s">
        <v>264</v>
      </c>
      <c r="J97" s="642" t="s">
        <v>248</v>
      </c>
      <c r="K97" s="642">
        <v>1</v>
      </c>
      <c r="L97" s="368"/>
      <c r="M97" s="368" t="s">
        <v>430</v>
      </c>
    </row>
    <row r="98" spans="6:13" hidden="1" x14ac:dyDescent="0.25">
      <c r="F98" s="368">
        <f t="shared" si="4"/>
        <v>95</v>
      </c>
      <c r="G98" s="368" t="s">
        <v>164</v>
      </c>
      <c r="H98" s="414">
        <f>+('RED DISTRIBUCION MES 1'!$O$58/37)*4%</f>
        <v>2127314.9651480191</v>
      </c>
      <c r="I98" s="414" t="s">
        <v>264</v>
      </c>
      <c r="J98" s="642" t="s">
        <v>255</v>
      </c>
      <c r="K98" s="642">
        <v>1</v>
      </c>
      <c r="L98" s="368"/>
      <c r="M98" s="368" t="s">
        <v>426</v>
      </c>
    </row>
    <row r="99" spans="6:13" hidden="1" x14ac:dyDescent="0.25">
      <c r="F99" s="368">
        <f t="shared" si="4"/>
        <v>96</v>
      </c>
      <c r="G99" s="368" t="s">
        <v>153</v>
      </c>
      <c r="H99" s="414">
        <f>+('RED DISTRIBUCION MES 1'!$O$58/37)*4%</f>
        <v>2127314.9651480191</v>
      </c>
      <c r="I99" s="414" t="s">
        <v>264</v>
      </c>
      <c r="J99" s="642" t="s">
        <v>255</v>
      </c>
      <c r="K99" s="642">
        <v>1</v>
      </c>
      <c r="L99" s="368"/>
      <c r="M99" s="368" t="s">
        <v>443</v>
      </c>
    </row>
    <row r="100" spans="6:13" hidden="1" x14ac:dyDescent="0.25">
      <c r="F100" s="368">
        <f t="shared" si="4"/>
        <v>97</v>
      </c>
      <c r="G100" s="368" t="s">
        <v>164</v>
      </c>
      <c r="H100" s="414">
        <f>+('RED DISTRIBUCION MES 1'!$O$58/37)*4%</f>
        <v>2127314.9651480191</v>
      </c>
      <c r="I100" s="414" t="s">
        <v>264</v>
      </c>
      <c r="J100" s="642" t="s">
        <v>252</v>
      </c>
      <c r="K100" s="642">
        <v>1</v>
      </c>
      <c r="L100" s="368"/>
      <c r="M100" s="368" t="s">
        <v>415</v>
      </c>
    </row>
    <row r="101" spans="6:13" hidden="1" x14ac:dyDescent="0.25">
      <c r="F101" s="368">
        <f t="shared" si="4"/>
        <v>98</v>
      </c>
      <c r="G101" s="368" t="s">
        <v>153</v>
      </c>
      <c r="H101" s="414">
        <f>+('RED DISTRIBUCION MES 1'!$O$58/37)*4%</f>
        <v>2127314.9651480191</v>
      </c>
      <c r="I101" s="414" t="s">
        <v>264</v>
      </c>
      <c r="J101" s="642" t="s">
        <v>252</v>
      </c>
      <c r="K101" s="642">
        <v>1</v>
      </c>
      <c r="L101" s="368"/>
      <c r="M101" s="368" t="s">
        <v>431</v>
      </c>
    </row>
    <row r="102" spans="6:13" hidden="1" x14ac:dyDescent="0.25">
      <c r="F102" s="368">
        <f t="shared" si="4"/>
        <v>99</v>
      </c>
      <c r="G102" s="368" t="s">
        <v>164</v>
      </c>
      <c r="H102" s="414">
        <f>+('RED DISTRIBUCION MES 1'!$O$58/37)*4%</f>
        <v>2127314.9651480191</v>
      </c>
      <c r="I102" s="414" t="s">
        <v>264</v>
      </c>
      <c r="J102" s="642" t="s">
        <v>259</v>
      </c>
      <c r="K102" s="642">
        <v>1</v>
      </c>
      <c r="L102" s="368"/>
      <c r="M102" s="642" t="s">
        <v>413</v>
      </c>
    </row>
    <row r="103" spans="6:13" hidden="1" x14ac:dyDescent="0.25">
      <c r="F103" s="368">
        <f t="shared" si="4"/>
        <v>100</v>
      </c>
      <c r="G103" s="368" t="s">
        <v>153</v>
      </c>
      <c r="H103" s="414">
        <f>+('RED DISTRIBUCION MES 1'!$O$58/37)*4%</f>
        <v>2127314.9651480191</v>
      </c>
      <c r="I103" s="414" t="s">
        <v>264</v>
      </c>
      <c r="J103" s="642" t="s">
        <v>259</v>
      </c>
      <c r="K103" s="642">
        <v>1</v>
      </c>
      <c r="L103" s="368"/>
      <c r="M103" s="368" t="s">
        <v>429</v>
      </c>
    </row>
    <row r="104" spans="6:13" hidden="1" x14ac:dyDescent="0.25">
      <c r="F104" s="368">
        <f t="shared" si="4"/>
        <v>101</v>
      </c>
      <c r="G104" s="368" t="s">
        <v>164</v>
      </c>
      <c r="H104" s="414">
        <f>+('RED DISTRIBUCION MES 1'!$O$58/37)*4%</f>
        <v>2127314.9651480191</v>
      </c>
      <c r="I104" s="414" t="s">
        <v>264</v>
      </c>
      <c r="J104" s="642" t="s">
        <v>245</v>
      </c>
      <c r="K104" s="642">
        <v>1</v>
      </c>
      <c r="L104" s="368"/>
      <c r="M104" s="368" t="s">
        <v>424</v>
      </c>
    </row>
    <row r="105" spans="6:13" hidden="1" x14ac:dyDescent="0.25">
      <c r="F105" s="368">
        <f t="shared" si="4"/>
        <v>102</v>
      </c>
      <c r="G105" s="368" t="s">
        <v>153</v>
      </c>
      <c r="H105" s="414">
        <f>+('RED DISTRIBUCION MES 1'!$O$58/37)*4%</f>
        <v>2127314.9651480191</v>
      </c>
      <c r="I105" s="414" t="s">
        <v>264</v>
      </c>
      <c r="J105" s="642" t="s">
        <v>245</v>
      </c>
      <c r="K105" s="642">
        <v>1</v>
      </c>
      <c r="L105" s="368"/>
      <c r="M105" s="368" t="s">
        <v>441</v>
      </c>
    </row>
    <row r="106" spans="6:13" hidden="1" x14ac:dyDescent="0.25">
      <c r="F106" s="368">
        <f t="shared" si="4"/>
        <v>103</v>
      </c>
      <c r="G106" s="368" t="s">
        <v>164</v>
      </c>
      <c r="H106" s="414">
        <f>+('RED DISTRIBUCION MES 1'!$O$58/37)*4%</f>
        <v>2127314.9651480191</v>
      </c>
      <c r="I106" s="414" t="s">
        <v>264</v>
      </c>
      <c r="J106" s="642" t="s">
        <v>246</v>
      </c>
      <c r="K106" s="642">
        <v>1</v>
      </c>
      <c r="L106" s="368"/>
      <c r="M106" s="368" t="s">
        <v>425</v>
      </c>
    </row>
    <row r="107" spans="6:13" hidden="1" x14ac:dyDescent="0.25">
      <c r="F107" s="368">
        <f t="shared" si="4"/>
        <v>104</v>
      </c>
      <c r="G107" s="368" t="s">
        <v>153</v>
      </c>
      <c r="H107" s="414">
        <f>+('RED DISTRIBUCION MES 1'!$O$58/37)*4%</f>
        <v>2127314.9651480191</v>
      </c>
      <c r="I107" s="414" t="s">
        <v>264</v>
      </c>
      <c r="J107" s="642" t="s">
        <v>246</v>
      </c>
      <c r="K107" s="642">
        <v>1</v>
      </c>
      <c r="L107" s="368"/>
      <c r="M107" s="368" t="s">
        <v>442</v>
      </c>
    </row>
    <row r="108" spans="6:13" hidden="1" x14ac:dyDescent="0.25">
      <c r="F108" s="368">
        <f t="shared" si="4"/>
        <v>105</v>
      </c>
      <c r="G108" s="368" t="s">
        <v>164</v>
      </c>
      <c r="H108" s="414">
        <f>+('RED DISTRIBUCION MES 1'!$O$58/37)*4%</f>
        <v>2127314.9651480191</v>
      </c>
      <c r="I108" s="414" t="s">
        <v>264</v>
      </c>
      <c r="J108" s="642" t="s">
        <v>247</v>
      </c>
      <c r="K108" s="642">
        <v>1</v>
      </c>
      <c r="L108" s="368"/>
      <c r="M108" s="368" t="s">
        <v>418</v>
      </c>
    </row>
    <row r="109" spans="6:13" hidden="1" x14ac:dyDescent="0.25">
      <c r="F109" s="368">
        <f t="shared" si="4"/>
        <v>106</v>
      </c>
      <c r="G109" s="368" t="s">
        <v>153</v>
      </c>
      <c r="H109" s="414">
        <f>+('RED DISTRIBUCION MES 1'!$O$58/37)*4%</f>
        <v>2127314.9651480191</v>
      </c>
      <c r="I109" s="414" t="s">
        <v>264</v>
      </c>
      <c r="J109" s="642" t="s">
        <v>247</v>
      </c>
      <c r="K109" s="642">
        <v>1</v>
      </c>
      <c r="L109" s="368"/>
      <c r="M109" s="368" t="s">
        <v>434</v>
      </c>
    </row>
    <row r="110" spans="6:13" hidden="1" x14ac:dyDescent="0.25">
      <c r="F110" s="368">
        <f t="shared" si="4"/>
        <v>107</v>
      </c>
      <c r="G110" s="368" t="s">
        <v>153</v>
      </c>
      <c r="H110" s="414">
        <f>+('RED DISTRIBUCION MES 1'!$O$58/37)*4%</f>
        <v>2127314.9651480191</v>
      </c>
      <c r="I110" s="414" t="s">
        <v>264</v>
      </c>
      <c r="J110" s="642" t="s">
        <v>253</v>
      </c>
      <c r="K110" s="642">
        <v>1</v>
      </c>
      <c r="L110" s="368"/>
      <c r="M110" s="368" t="s">
        <v>445</v>
      </c>
    </row>
    <row r="111" spans="6:13" hidden="1" x14ac:dyDescent="0.25">
      <c r="F111" s="368">
        <f t="shared" si="4"/>
        <v>108</v>
      </c>
      <c r="G111" s="368" t="s">
        <v>164</v>
      </c>
      <c r="H111" s="414">
        <f>+('RED DISTRIBUCION MES 1'!$O$58/37)*4%</f>
        <v>2127314.9651480191</v>
      </c>
      <c r="I111" s="414" t="s">
        <v>264</v>
      </c>
      <c r="J111" s="642" t="s">
        <v>249</v>
      </c>
      <c r="K111" s="642">
        <v>1</v>
      </c>
      <c r="L111" s="368"/>
      <c r="M111" s="368" t="s">
        <v>356</v>
      </c>
    </row>
    <row r="112" spans="6:13" hidden="1" x14ac:dyDescent="0.25">
      <c r="F112" s="368">
        <f t="shared" si="4"/>
        <v>109</v>
      </c>
      <c r="G112" s="368" t="s">
        <v>153</v>
      </c>
      <c r="H112" s="414">
        <f>+('RED DISTRIBUCION MES 1'!$O$58/37)*4%</f>
        <v>2127314.9651480191</v>
      </c>
      <c r="I112" s="414" t="s">
        <v>264</v>
      </c>
      <c r="J112" s="642" t="s">
        <v>249</v>
      </c>
      <c r="K112" s="642">
        <v>1</v>
      </c>
      <c r="L112" s="368"/>
      <c r="M112" s="368" t="s">
        <v>439</v>
      </c>
    </row>
    <row r="113" spans="6:13" hidden="1" x14ac:dyDescent="0.25">
      <c r="F113" s="368">
        <f t="shared" si="4"/>
        <v>110</v>
      </c>
      <c r="G113" s="368" t="s">
        <v>164</v>
      </c>
      <c r="H113" s="414">
        <f>+('RED DISTRIBUCION MES 1'!$O$58/37)*4%</f>
        <v>2127314.9651480191</v>
      </c>
      <c r="I113" s="414" t="s">
        <v>264</v>
      </c>
      <c r="J113" s="642" t="s">
        <v>257</v>
      </c>
      <c r="K113" s="642">
        <v>1</v>
      </c>
      <c r="L113" s="368"/>
      <c r="M113" s="368" t="s">
        <v>419</v>
      </c>
    </row>
    <row r="114" spans="6:13" hidden="1" x14ac:dyDescent="0.25">
      <c r="F114" s="368">
        <f t="shared" si="4"/>
        <v>111</v>
      </c>
      <c r="G114" s="368" t="s">
        <v>153</v>
      </c>
      <c r="H114" s="414">
        <f>+('RED DISTRIBUCION MES 1'!$O$58/37)*4%</f>
        <v>2127314.9651480191</v>
      </c>
      <c r="I114" s="414" t="s">
        <v>264</v>
      </c>
      <c r="J114" s="642" t="s">
        <v>257</v>
      </c>
      <c r="K114" s="642">
        <v>1</v>
      </c>
      <c r="L114" s="368"/>
      <c r="M114" s="723" t="s">
        <v>435</v>
      </c>
    </row>
    <row r="115" spans="6:13" hidden="1" x14ac:dyDescent="0.25">
      <c r="F115" s="368">
        <f t="shared" si="4"/>
        <v>112</v>
      </c>
      <c r="G115" s="368" t="s">
        <v>164</v>
      </c>
      <c r="H115" s="414">
        <f>+('RED DISTRIBUCION MES 1'!$O$58/37)*4%</f>
        <v>2127314.9651480191</v>
      </c>
      <c r="I115" s="414" t="s">
        <v>264</v>
      </c>
      <c r="J115" s="642" t="s">
        <v>263</v>
      </c>
      <c r="K115" s="642">
        <v>1</v>
      </c>
      <c r="L115" s="368"/>
      <c r="M115" s="368" t="s">
        <v>416</v>
      </c>
    </row>
    <row r="116" spans="6:13" hidden="1" x14ac:dyDescent="0.25">
      <c r="F116" s="368">
        <f t="shared" si="4"/>
        <v>113</v>
      </c>
      <c r="G116" s="368" t="s">
        <v>153</v>
      </c>
      <c r="H116" s="414">
        <f>+('RED DISTRIBUCION MES 1'!$O$58/37)*4%</f>
        <v>2127314.9651480191</v>
      </c>
      <c r="I116" s="414" t="s">
        <v>264</v>
      </c>
      <c r="J116" s="642" t="s">
        <v>263</v>
      </c>
      <c r="K116" s="642">
        <v>1</v>
      </c>
      <c r="L116" s="368"/>
      <c r="M116" s="368" t="s">
        <v>432</v>
      </c>
    </row>
    <row r="117" spans="6:13" hidden="1" x14ac:dyDescent="0.25">
      <c r="F117" s="368">
        <f t="shared" si="4"/>
        <v>114</v>
      </c>
      <c r="G117" s="368" t="s">
        <v>153</v>
      </c>
      <c r="H117" s="414">
        <f>+('RED DISTRIBUCION MES 1'!$O$58/37)*4%</f>
        <v>2127314.9651480191</v>
      </c>
      <c r="I117" s="414" t="s">
        <v>264</v>
      </c>
      <c r="J117" s="642" t="s">
        <v>254</v>
      </c>
      <c r="K117" s="642">
        <v>1</v>
      </c>
      <c r="L117" s="368"/>
      <c r="M117" s="368" t="s">
        <v>446</v>
      </c>
    </row>
    <row r="118" spans="6:13" hidden="1" x14ac:dyDescent="0.25">
      <c r="F118" s="368">
        <f t="shared" si="4"/>
        <v>115</v>
      </c>
      <c r="G118" s="368" t="s">
        <v>164</v>
      </c>
      <c r="H118" s="414">
        <f>+('RED DISTRIBUCION MES 1'!$O$58/37)*4%</f>
        <v>2127314.9651480191</v>
      </c>
      <c r="I118" s="414" t="s">
        <v>264</v>
      </c>
      <c r="J118" s="642" t="s">
        <v>244</v>
      </c>
      <c r="K118" s="642">
        <v>1</v>
      </c>
      <c r="L118" s="368"/>
      <c r="M118" s="368" t="s">
        <v>422</v>
      </c>
    </row>
    <row r="119" spans="6:13" hidden="1" x14ac:dyDescent="0.25">
      <c r="F119" s="368">
        <f t="shared" si="4"/>
        <v>116</v>
      </c>
      <c r="G119" s="368" t="s">
        <v>153</v>
      </c>
      <c r="H119" s="414">
        <f>+('RED DISTRIBUCION MES 1'!$O$58/37)*4%</f>
        <v>2127314.9651480191</v>
      </c>
      <c r="I119" s="414" t="s">
        <v>264</v>
      </c>
      <c r="J119" s="642" t="s">
        <v>244</v>
      </c>
      <c r="K119" s="642">
        <v>1</v>
      </c>
      <c r="L119" s="368"/>
      <c r="M119" s="368" t="s">
        <v>438</v>
      </c>
    </row>
    <row r="120" spans="6:13" hidden="1" x14ac:dyDescent="0.25">
      <c r="F120" s="368">
        <f t="shared" si="4"/>
        <v>117</v>
      </c>
      <c r="G120" s="368" t="s">
        <v>164</v>
      </c>
      <c r="H120" s="414">
        <f>+('RED DISTRIBUCION MES 1'!$O$58/37)*4%</f>
        <v>2127314.9651480191</v>
      </c>
      <c r="I120" s="414" t="s">
        <v>264</v>
      </c>
      <c r="J120" s="642" t="s">
        <v>261</v>
      </c>
      <c r="K120" s="642">
        <v>1</v>
      </c>
      <c r="L120" s="368"/>
      <c r="M120" s="368"/>
    </row>
    <row r="121" spans="6:13" hidden="1" x14ac:dyDescent="0.25">
      <c r="F121" s="368">
        <f t="shared" si="4"/>
        <v>118</v>
      </c>
      <c r="G121" s="368" t="s">
        <v>164</v>
      </c>
      <c r="H121" s="414">
        <f>+('RED DISTRIBUCION MES 1'!$O$58/37)*4%</f>
        <v>2127314.9651480191</v>
      </c>
      <c r="I121" s="414" t="s">
        <v>264</v>
      </c>
      <c r="J121" s="642" t="s">
        <v>250</v>
      </c>
      <c r="K121" s="642">
        <v>1</v>
      </c>
      <c r="L121" s="368"/>
      <c r="M121" s="368" t="s">
        <v>427</v>
      </c>
    </row>
    <row r="122" spans="6:13" hidden="1" x14ac:dyDescent="0.25">
      <c r="F122" s="368">
        <f t="shared" si="4"/>
        <v>119</v>
      </c>
      <c r="G122" s="368" t="s">
        <v>153</v>
      </c>
      <c r="H122" s="414">
        <f>+('RED DISTRIBUCION MES 1'!$O$58/37)*4%</f>
        <v>2127314.9651480191</v>
      </c>
      <c r="I122" s="414" t="s">
        <v>264</v>
      </c>
      <c r="J122" s="642" t="s">
        <v>250</v>
      </c>
      <c r="K122" s="642">
        <v>1</v>
      </c>
      <c r="L122" s="368"/>
      <c r="M122" s="368" t="s">
        <v>444</v>
      </c>
    </row>
    <row r="123" spans="6:13" hidden="1" x14ac:dyDescent="0.25">
      <c r="F123" s="368">
        <f t="shared" si="4"/>
        <v>120</v>
      </c>
      <c r="G123" s="368" t="s">
        <v>164</v>
      </c>
      <c r="H123" s="414">
        <f>+('RED DISTRIBUCION MES 1'!$O$58/37)*4%</f>
        <v>2127314.9651480191</v>
      </c>
      <c r="I123" s="414" t="s">
        <v>264</v>
      </c>
      <c r="J123" s="642" t="s">
        <v>258</v>
      </c>
      <c r="K123" s="642">
        <v>1</v>
      </c>
      <c r="L123" s="368"/>
      <c r="M123" s="368" t="s">
        <v>421</v>
      </c>
    </row>
    <row r="124" spans="6:13" hidden="1" x14ac:dyDescent="0.25">
      <c r="F124" s="368">
        <f t="shared" ref="F124:F131" si="5">+F123+1</f>
        <v>121</v>
      </c>
      <c r="G124" s="368" t="s">
        <v>153</v>
      </c>
      <c r="H124" s="414">
        <f>+('RED DISTRIBUCION MES 1'!$O$58/37)*4%</f>
        <v>2127314.9651480191</v>
      </c>
      <c r="I124" s="414" t="s">
        <v>264</v>
      </c>
      <c r="J124" s="642" t="s">
        <v>258</v>
      </c>
      <c r="K124" s="642">
        <v>1</v>
      </c>
      <c r="L124" s="368"/>
      <c r="M124" s="368" t="s">
        <v>437</v>
      </c>
    </row>
    <row r="125" spans="6:13" hidden="1" x14ac:dyDescent="0.25">
      <c r="F125" s="368">
        <f t="shared" si="5"/>
        <v>122</v>
      </c>
      <c r="G125" s="368" t="s">
        <v>164</v>
      </c>
      <c r="H125" s="414">
        <f>+('RED DISTRIBUCION MES 1'!$O$58/37)*4%</f>
        <v>2127314.9651480191</v>
      </c>
      <c r="I125" s="414" t="s">
        <v>264</v>
      </c>
      <c r="J125" s="642" t="s">
        <v>243</v>
      </c>
      <c r="K125" s="642">
        <v>1</v>
      </c>
      <c r="L125" s="368"/>
      <c r="M125" s="368" t="s">
        <v>420</v>
      </c>
    </row>
    <row r="126" spans="6:13" hidden="1" x14ac:dyDescent="0.25">
      <c r="F126" s="368">
        <f t="shared" si="5"/>
        <v>123</v>
      </c>
      <c r="G126" s="368" t="s">
        <v>153</v>
      </c>
      <c r="H126" s="414">
        <f>+('RED DISTRIBUCION MES 1'!$O$58/37)*4%</f>
        <v>2127314.9651480191</v>
      </c>
      <c r="I126" s="414" t="s">
        <v>264</v>
      </c>
      <c r="J126" s="642" t="s">
        <v>243</v>
      </c>
      <c r="K126" s="642">
        <v>1</v>
      </c>
      <c r="L126" s="368"/>
      <c r="M126" s="368" t="s">
        <v>436</v>
      </c>
    </row>
    <row r="127" spans="6:13" hidden="1" x14ac:dyDescent="0.25">
      <c r="F127" s="368">
        <f t="shared" si="5"/>
        <v>124</v>
      </c>
      <c r="G127" s="368" t="s">
        <v>164</v>
      </c>
      <c r="H127" s="414">
        <f>+('RED DISTRIBUCION MES 1'!$O$58/37)*4%</f>
        <v>2127314.9651480191</v>
      </c>
      <c r="I127" s="414" t="s">
        <v>264</v>
      </c>
      <c r="J127" s="642" t="s">
        <v>260</v>
      </c>
      <c r="K127" s="642">
        <v>1</v>
      </c>
      <c r="L127" s="368"/>
      <c r="M127" s="368" t="s">
        <v>412</v>
      </c>
    </row>
    <row r="128" spans="6:13" hidden="1" x14ac:dyDescent="0.25">
      <c r="F128" s="418">
        <f t="shared" si="5"/>
        <v>125</v>
      </c>
      <c r="G128" s="418" t="s">
        <v>153</v>
      </c>
      <c r="H128" s="414">
        <f>+('RED DISTRIBUCION MES 1'!$O$58/37)*4%</f>
        <v>2127314.9651480191</v>
      </c>
      <c r="I128" s="414" t="s">
        <v>264</v>
      </c>
      <c r="J128" s="642" t="s">
        <v>260</v>
      </c>
      <c r="K128" s="642">
        <v>1</v>
      </c>
      <c r="L128" s="368"/>
      <c r="M128" s="368" t="s">
        <v>428</v>
      </c>
    </row>
    <row r="129" spans="6:13" hidden="1" x14ac:dyDescent="0.25">
      <c r="F129" s="419">
        <f t="shared" si="5"/>
        <v>126</v>
      </c>
      <c r="G129" s="420" t="s">
        <v>131</v>
      </c>
      <c r="H129" s="421">
        <f>+'RED DISTRIBUCION MES 1'!$AB$52/3</f>
        <v>65592211.425397247</v>
      </c>
      <c r="I129" s="646" t="s">
        <v>265</v>
      </c>
      <c r="J129" s="644" t="s">
        <v>21</v>
      </c>
      <c r="K129" s="644"/>
      <c r="L129" s="369" t="s">
        <v>21</v>
      </c>
      <c r="M129" s="369" t="s">
        <v>447</v>
      </c>
    </row>
    <row r="130" spans="6:13" hidden="1" x14ac:dyDescent="0.25">
      <c r="F130" s="422">
        <f t="shared" si="5"/>
        <v>127</v>
      </c>
      <c r="G130" s="369" t="s">
        <v>165</v>
      </c>
      <c r="H130" s="421">
        <f>+('RED DISTRIBUCION MES 1'!$S$52/17)*20%</f>
        <v>9260076.9071149062</v>
      </c>
      <c r="I130" s="646" t="s">
        <v>265</v>
      </c>
      <c r="J130" s="644" t="s">
        <v>256</v>
      </c>
      <c r="K130" s="644">
        <v>1</v>
      </c>
      <c r="L130" s="369" t="s">
        <v>21</v>
      </c>
      <c r="M130" s="369" t="s">
        <v>448</v>
      </c>
    </row>
    <row r="131" spans="6:13" hidden="1" x14ac:dyDescent="0.25">
      <c r="F131" s="422">
        <f t="shared" si="5"/>
        <v>128</v>
      </c>
      <c r="G131" s="369" t="s">
        <v>130</v>
      </c>
      <c r="H131" s="421">
        <f>+'RED DISTRIBUCION MES 1'!$Y$52/3</f>
        <v>65592211.425397247</v>
      </c>
      <c r="I131" s="646" t="s">
        <v>265</v>
      </c>
      <c r="J131" s="644" t="s">
        <v>256</v>
      </c>
      <c r="K131" s="644">
        <v>1</v>
      </c>
      <c r="L131" s="369"/>
      <c r="M131" s="369" t="s">
        <v>449</v>
      </c>
    </row>
    <row r="132" spans="6:13" hidden="1" x14ac:dyDescent="0.25">
      <c r="F132" s="422">
        <f t="shared" ref="F132:F163" si="6">+F131+1</f>
        <v>129</v>
      </c>
      <c r="G132" s="369" t="s">
        <v>153</v>
      </c>
      <c r="H132" s="421">
        <f>+('RED DISTRIBUCION MES 1'!$AE$52/21)*20%</f>
        <v>10252580.85702277</v>
      </c>
      <c r="I132" s="646" t="s">
        <v>265</v>
      </c>
      <c r="J132" s="644" t="s">
        <v>256</v>
      </c>
      <c r="K132" s="644">
        <v>1</v>
      </c>
      <c r="L132" s="369"/>
      <c r="M132" s="369" t="s">
        <v>450</v>
      </c>
    </row>
    <row r="133" spans="6:13" hidden="1" x14ac:dyDescent="0.25">
      <c r="F133" s="422">
        <f t="shared" si="6"/>
        <v>130</v>
      </c>
      <c r="G133" s="369" t="s">
        <v>165</v>
      </c>
      <c r="H133" s="421">
        <f>+('RED DISTRIBUCION MES 1'!$S$52/17)*20%</f>
        <v>9260076.9071149062</v>
      </c>
      <c r="I133" s="646" t="s">
        <v>265</v>
      </c>
      <c r="J133" s="644" t="s">
        <v>251</v>
      </c>
      <c r="K133" s="644">
        <v>1</v>
      </c>
      <c r="L133" s="369"/>
      <c r="M133" s="369" t="s">
        <v>451</v>
      </c>
    </row>
    <row r="134" spans="6:13" hidden="1" x14ac:dyDescent="0.25">
      <c r="F134" s="422">
        <f t="shared" si="6"/>
        <v>131</v>
      </c>
      <c r="G134" s="369" t="s">
        <v>153</v>
      </c>
      <c r="H134" s="421">
        <f>+('RED DISTRIBUCION MES 1'!$AE$52/21)*20%</f>
        <v>10252580.85702277</v>
      </c>
      <c r="I134" s="646" t="s">
        <v>265</v>
      </c>
      <c r="J134" s="644" t="s">
        <v>251</v>
      </c>
      <c r="K134" s="644">
        <v>1</v>
      </c>
      <c r="L134" s="369"/>
      <c r="M134" s="724" t="s">
        <v>452</v>
      </c>
    </row>
    <row r="135" spans="6:13" hidden="1" x14ac:dyDescent="0.25">
      <c r="F135" s="422">
        <f t="shared" si="6"/>
        <v>132</v>
      </c>
      <c r="G135" s="369" t="s">
        <v>153</v>
      </c>
      <c r="H135" s="421">
        <f>+('RED DISTRIBUCION MES 1'!$AE$52/21)*20%</f>
        <v>10252580.85702277</v>
      </c>
      <c r="I135" s="646" t="s">
        <v>265</v>
      </c>
      <c r="J135" s="644" t="s">
        <v>251</v>
      </c>
      <c r="K135" s="644">
        <v>2</v>
      </c>
      <c r="L135" s="369"/>
      <c r="M135" s="369" t="s">
        <v>453</v>
      </c>
    </row>
    <row r="136" spans="6:13" hidden="1" x14ac:dyDescent="0.25">
      <c r="F136" s="422">
        <f t="shared" si="6"/>
        <v>133</v>
      </c>
      <c r="G136" s="369" t="s">
        <v>129</v>
      </c>
      <c r="H136" s="421">
        <f>+('RED DISTRIBUCION MES 1'!$V$52/11)*20%</f>
        <v>14311027.947359398</v>
      </c>
      <c r="I136" s="646" t="s">
        <v>265</v>
      </c>
      <c r="J136" s="644" t="s">
        <v>248</v>
      </c>
      <c r="K136" s="644">
        <v>1</v>
      </c>
      <c r="L136" s="369"/>
      <c r="M136" s="369" t="s">
        <v>454</v>
      </c>
    </row>
    <row r="137" spans="6:13" hidden="1" x14ac:dyDescent="0.25">
      <c r="F137" s="422">
        <f t="shared" si="6"/>
        <v>134</v>
      </c>
      <c r="G137" s="369" t="s">
        <v>165</v>
      </c>
      <c r="H137" s="421">
        <f>+('RED DISTRIBUCION MES 1'!$S$52/17)*20%</f>
        <v>9260076.9071149062</v>
      </c>
      <c r="I137" s="646" t="s">
        <v>265</v>
      </c>
      <c r="J137" s="644" t="s">
        <v>248</v>
      </c>
      <c r="K137" s="644">
        <v>1</v>
      </c>
      <c r="L137" s="369"/>
      <c r="M137" s="725" t="s">
        <v>455</v>
      </c>
    </row>
    <row r="138" spans="6:13" hidden="1" x14ac:dyDescent="0.25">
      <c r="F138" s="422">
        <f t="shared" si="6"/>
        <v>135</v>
      </c>
      <c r="G138" s="369" t="s">
        <v>153</v>
      </c>
      <c r="H138" s="421">
        <f>+('RED DISTRIBUCION MES 1'!$AE$52/21)*20%</f>
        <v>10252580.85702277</v>
      </c>
      <c r="I138" s="646" t="s">
        <v>265</v>
      </c>
      <c r="J138" s="644" t="s">
        <v>248</v>
      </c>
      <c r="K138" s="644">
        <v>1</v>
      </c>
      <c r="L138" s="369"/>
      <c r="M138" s="369" t="s">
        <v>456</v>
      </c>
    </row>
    <row r="139" spans="6:13" hidden="1" x14ac:dyDescent="0.25">
      <c r="F139" s="422">
        <f t="shared" si="6"/>
        <v>136</v>
      </c>
      <c r="G139" s="369" t="s">
        <v>165</v>
      </c>
      <c r="H139" s="421">
        <f>+('RED DISTRIBUCION MES 1'!$S$52/17)*20%</f>
        <v>9260076.9071149062</v>
      </c>
      <c r="I139" s="646" t="s">
        <v>265</v>
      </c>
      <c r="J139" s="644" t="s">
        <v>255</v>
      </c>
      <c r="K139" s="644">
        <v>1</v>
      </c>
      <c r="L139" s="369"/>
      <c r="M139" s="369" t="s">
        <v>457</v>
      </c>
    </row>
    <row r="140" spans="6:13" hidden="1" x14ac:dyDescent="0.25">
      <c r="F140" s="422">
        <f t="shared" si="6"/>
        <v>137</v>
      </c>
      <c r="G140" s="369" t="s">
        <v>165</v>
      </c>
      <c r="H140" s="421">
        <f>+('RED DISTRIBUCION MES 1'!$S$52/17)*20%</f>
        <v>9260076.9071149062</v>
      </c>
      <c r="I140" s="646" t="s">
        <v>265</v>
      </c>
      <c r="J140" s="644" t="s">
        <v>252</v>
      </c>
      <c r="K140" s="644">
        <v>1</v>
      </c>
      <c r="L140" s="369"/>
      <c r="M140" s="369" t="s">
        <v>458</v>
      </c>
    </row>
    <row r="141" spans="6:13" hidden="1" x14ac:dyDescent="0.25">
      <c r="F141" s="422">
        <f t="shared" si="6"/>
        <v>138</v>
      </c>
      <c r="G141" s="369" t="s">
        <v>130</v>
      </c>
      <c r="H141" s="421">
        <f>+'RED DISTRIBUCION MES 1'!$Y$52/3</f>
        <v>65592211.425397247</v>
      </c>
      <c r="I141" s="646" t="s">
        <v>265</v>
      </c>
      <c r="J141" s="644" t="s">
        <v>252</v>
      </c>
      <c r="K141" s="644">
        <v>1</v>
      </c>
      <c r="L141" s="369"/>
      <c r="M141" s="369" t="s">
        <v>459</v>
      </c>
    </row>
    <row r="142" spans="6:13" hidden="1" x14ac:dyDescent="0.25">
      <c r="F142" s="422">
        <f t="shared" si="6"/>
        <v>139</v>
      </c>
      <c r="G142" s="369" t="s">
        <v>153</v>
      </c>
      <c r="H142" s="421">
        <f>+('RED DISTRIBUCION MES 1'!$AE$52/21)*20%</f>
        <v>10252580.85702277</v>
      </c>
      <c r="I142" s="646" t="s">
        <v>265</v>
      </c>
      <c r="J142" s="644" t="s">
        <v>252</v>
      </c>
      <c r="K142" s="644">
        <v>1</v>
      </c>
      <c r="L142" s="369"/>
      <c r="M142" s="369" t="s">
        <v>460</v>
      </c>
    </row>
    <row r="143" spans="6:13" hidden="1" x14ac:dyDescent="0.25">
      <c r="F143" s="422">
        <f t="shared" si="6"/>
        <v>140</v>
      </c>
      <c r="G143" s="369" t="s">
        <v>165</v>
      </c>
      <c r="H143" s="421">
        <f>+('RED DISTRIBUCION MES 1'!$S$52/17)*20%</f>
        <v>9260076.9071149062</v>
      </c>
      <c r="I143" s="646" t="s">
        <v>265</v>
      </c>
      <c r="J143" s="644" t="s">
        <v>259</v>
      </c>
      <c r="K143" s="644">
        <v>1</v>
      </c>
      <c r="L143" s="369"/>
      <c r="M143" s="724" t="s">
        <v>461</v>
      </c>
    </row>
    <row r="144" spans="6:13" hidden="1" x14ac:dyDescent="0.25">
      <c r="F144" s="422">
        <f t="shared" si="6"/>
        <v>141</v>
      </c>
      <c r="G144" s="369" t="s">
        <v>129</v>
      </c>
      <c r="H144" s="421">
        <f>+('RED DISTRIBUCION MES 1'!$V$52/11)*20%</f>
        <v>14311027.947359398</v>
      </c>
      <c r="I144" s="646" t="s">
        <v>265</v>
      </c>
      <c r="J144" s="644" t="s">
        <v>259</v>
      </c>
      <c r="K144" s="644">
        <v>1</v>
      </c>
      <c r="L144" s="369"/>
      <c r="M144" s="369" t="s">
        <v>462</v>
      </c>
    </row>
    <row r="145" spans="6:13" ht="15.75" hidden="1" thickBot="1" x14ac:dyDescent="0.3">
      <c r="F145" s="423">
        <f t="shared" si="6"/>
        <v>142</v>
      </c>
      <c r="G145" s="424" t="s">
        <v>153</v>
      </c>
      <c r="H145" s="421">
        <f>+('RED DISTRIBUCION MES 1'!$AE$52/21)*20%</f>
        <v>10252580.85702277</v>
      </c>
      <c r="I145" s="646" t="s">
        <v>265</v>
      </c>
      <c r="J145" s="644" t="s">
        <v>259</v>
      </c>
      <c r="K145" s="644">
        <v>1</v>
      </c>
      <c r="L145" s="369"/>
      <c r="M145" s="369" t="s">
        <v>463</v>
      </c>
    </row>
    <row r="146" spans="6:13" hidden="1" x14ac:dyDescent="0.25">
      <c r="F146" s="419">
        <f t="shared" si="6"/>
        <v>143</v>
      </c>
      <c r="G146" s="420" t="s">
        <v>165</v>
      </c>
      <c r="H146" s="421">
        <f>+('RED DISTRIBUCION MES 1'!$S$52/17)*20%</f>
        <v>9260076.9071149062</v>
      </c>
      <c r="I146" s="646" t="s">
        <v>265</v>
      </c>
      <c r="J146" s="644" t="s">
        <v>245</v>
      </c>
      <c r="K146" s="644">
        <v>1</v>
      </c>
      <c r="L146" s="369" t="s">
        <v>21</v>
      </c>
      <c r="M146" s="725" t="s">
        <v>464</v>
      </c>
    </row>
    <row r="147" spans="6:13" hidden="1" x14ac:dyDescent="0.25">
      <c r="F147" s="422">
        <f t="shared" si="6"/>
        <v>144</v>
      </c>
      <c r="G147" s="369" t="s">
        <v>129</v>
      </c>
      <c r="H147" s="421">
        <f>+('RED DISTRIBUCION MES 1'!$V$52/11)*20%</f>
        <v>14311027.947359398</v>
      </c>
      <c r="I147" s="646" t="s">
        <v>265</v>
      </c>
      <c r="J147" s="644" t="s">
        <v>245</v>
      </c>
      <c r="K147" s="644">
        <v>1</v>
      </c>
      <c r="L147" s="369" t="s">
        <v>21</v>
      </c>
      <c r="M147" s="369" t="s">
        <v>465</v>
      </c>
    </row>
    <row r="148" spans="6:13" hidden="1" x14ac:dyDescent="0.25">
      <c r="F148" s="422">
        <f t="shared" si="6"/>
        <v>145</v>
      </c>
      <c r="G148" s="369" t="s">
        <v>129</v>
      </c>
      <c r="H148" s="421">
        <f>+('RED DISTRIBUCION MES 1'!$V$52/11)*20%</f>
        <v>14311027.947359398</v>
      </c>
      <c r="I148" s="646" t="s">
        <v>265</v>
      </c>
      <c r="J148" s="644" t="s">
        <v>245</v>
      </c>
      <c r="K148" s="644">
        <v>2</v>
      </c>
      <c r="L148" s="369" t="s">
        <v>21</v>
      </c>
      <c r="M148" s="369" t="s">
        <v>466</v>
      </c>
    </row>
    <row r="149" spans="6:13" hidden="1" x14ac:dyDescent="0.25">
      <c r="F149" s="422">
        <f t="shared" si="6"/>
        <v>146</v>
      </c>
      <c r="G149" s="369" t="s">
        <v>153</v>
      </c>
      <c r="H149" s="421">
        <f>+('RED DISTRIBUCION MES 1'!$AE$52/21)*20%</f>
        <v>10252580.85702277</v>
      </c>
      <c r="I149" s="646" t="s">
        <v>265</v>
      </c>
      <c r="J149" s="644" t="s">
        <v>245</v>
      </c>
      <c r="K149" s="644">
        <v>1</v>
      </c>
      <c r="L149" s="369"/>
      <c r="M149" s="369" t="s">
        <v>467</v>
      </c>
    </row>
    <row r="150" spans="6:13" hidden="1" x14ac:dyDescent="0.25">
      <c r="F150" s="422">
        <f t="shared" si="6"/>
        <v>147</v>
      </c>
      <c r="G150" s="369" t="s">
        <v>165</v>
      </c>
      <c r="H150" s="421">
        <f>+('RED DISTRIBUCION MES 1'!$S$52/17)*20%</f>
        <v>9260076.9071149062</v>
      </c>
      <c r="I150" s="646" t="s">
        <v>265</v>
      </c>
      <c r="J150" s="644" t="s">
        <v>246</v>
      </c>
      <c r="K150" s="644">
        <v>1</v>
      </c>
      <c r="L150" s="369"/>
      <c r="M150" s="369" t="s">
        <v>468</v>
      </c>
    </row>
    <row r="151" spans="6:13" hidden="1" x14ac:dyDescent="0.25">
      <c r="F151" s="422">
        <f t="shared" si="6"/>
        <v>148</v>
      </c>
      <c r="G151" s="369" t="s">
        <v>129</v>
      </c>
      <c r="H151" s="421">
        <f>+('RED DISTRIBUCION MES 1'!$V$52/11)*20%</f>
        <v>14311027.947359398</v>
      </c>
      <c r="I151" s="646" t="s">
        <v>265</v>
      </c>
      <c r="J151" s="644" t="s">
        <v>246</v>
      </c>
      <c r="K151" s="644">
        <v>1</v>
      </c>
      <c r="L151" s="369"/>
      <c r="M151" s="369" t="s">
        <v>469</v>
      </c>
    </row>
    <row r="152" spans="6:13" hidden="1" x14ac:dyDescent="0.25">
      <c r="F152" s="422">
        <f t="shared" si="6"/>
        <v>149</v>
      </c>
      <c r="G152" s="369" t="s">
        <v>129</v>
      </c>
      <c r="H152" s="421">
        <f>+('RED DISTRIBUCION MES 1'!$V$52/11)*20%</f>
        <v>14311027.947359398</v>
      </c>
      <c r="I152" s="646" t="s">
        <v>265</v>
      </c>
      <c r="J152" s="644" t="s">
        <v>246</v>
      </c>
      <c r="K152" s="644">
        <v>2</v>
      </c>
      <c r="L152" s="369"/>
      <c r="M152" s="369" t="s">
        <v>470</v>
      </c>
    </row>
    <row r="153" spans="6:13" hidden="1" x14ac:dyDescent="0.25">
      <c r="F153" s="422">
        <f t="shared" si="6"/>
        <v>150</v>
      </c>
      <c r="G153" s="369" t="s">
        <v>153</v>
      </c>
      <c r="H153" s="421">
        <f>+('RED DISTRIBUCION MES 1'!$AE$52/21)*20%</f>
        <v>10252580.85702277</v>
      </c>
      <c r="I153" s="646" t="s">
        <v>265</v>
      </c>
      <c r="J153" s="644" t="s">
        <v>246</v>
      </c>
      <c r="K153" s="644">
        <v>1</v>
      </c>
      <c r="L153" s="369"/>
      <c r="M153" s="369" t="s">
        <v>471</v>
      </c>
    </row>
    <row r="154" spans="6:13" hidden="1" x14ac:dyDescent="0.25">
      <c r="F154" s="422">
        <f t="shared" si="6"/>
        <v>151</v>
      </c>
      <c r="G154" s="369" t="s">
        <v>165</v>
      </c>
      <c r="H154" s="421">
        <f>+('RED DISTRIBUCION MES 1'!$S$52/17)*20%</f>
        <v>9260076.9071149062</v>
      </c>
      <c r="I154" s="646" t="s">
        <v>265</v>
      </c>
      <c r="J154" s="644" t="s">
        <v>247</v>
      </c>
      <c r="K154" s="644">
        <v>1</v>
      </c>
      <c r="L154" s="369"/>
      <c r="M154" s="369" t="s">
        <v>472</v>
      </c>
    </row>
    <row r="155" spans="6:13" hidden="1" x14ac:dyDescent="0.25">
      <c r="F155" s="422">
        <f t="shared" si="6"/>
        <v>152</v>
      </c>
      <c r="G155" s="369" t="s">
        <v>129</v>
      </c>
      <c r="H155" s="421">
        <f>+('RED DISTRIBUCION MES 1'!$V$52/11)*20%</f>
        <v>14311027.947359398</v>
      </c>
      <c r="I155" s="646" t="s">
        <v>265</v>
      </c>
      <c r="J155" s="644" t="s">
        <v>247</v>
      </c>
      <c r="K155" s="644">
        <v>1</v>
      </c>
      <c r="L155" s="369"/>
      <c r="M155" s="369" t="s">
        <v>473</v>
      </c>
    </row>
    <row r="156" spans="6:13" ht="15.75" hidden="1" thickBot="1" x14ac:dyDescent="0.3">
      <c r="F156" s="423">
        <f t="shared" si="6"/>
        <v>153</v>
      </c>
      <c r="G156" s="424" t="s">
        <v>129</v>
      </c>
      <c r="H156" s="421">
        <f>+('RED DISTRIBUCION MES 1'!$V$52/11)*20%</f>
        <v>14311027.947359398</v>
      </c>
      <c r="I156" s="646" t="s">
        <v>265</v>
      </c>
      <c r="J156" s="644" t="s">
        <v>247</v>
      </c>
      <c r="K156" s="644">
        <v>2</v>
      </c>
      <c r="L156" s="369"/>
      <c r="M156" s="724" t="s">
        <v>474</v>
      </c>
    </row>
    <row r="157" spans="6:13" hidden="1" x14ac:dyDescent="0.25">
      <c r="F157" s="419">
        <f t="shared" si="6"/>
        <v>154</v>
      </c>
      <c r="G157" s="420" t="s">
        <v>153</v>
      </c>
      <c r="H157" s="421">
        <f>+('RED DISTRIBUCION MES 1'!$AE$52/21)*20%</f>
        <v>10252580.85702277</v>
      </c>
      <c r="I157" s="646" t="s">
        <v>265</v>
      </c>
      <c r="J157" s="644" t="s">
        <v>247</v>
      </c>
      <c r="K157" s="644">
        <v>1</v>
      </c>
      <c r="L157" s="369" t="s">
        <v>21</v>
      </c>
      <c r="M157" s="369" t="s">
        <v>475</v>
      </c>
    </row>
    <row r="158" spans="6:13" hidden="1" x14ac:dyDescent="0.25">
      <c r="F158" s="422">
        <f t="shared" si="6"/>
        <v>155</v>
      </c>
      <c r="G158" s="369" t="s">
        <v>129</v>
      </c>
      <c r="H158" s="421">
        <f>+('RED DISTRIBUCION MES 1'!$V$52/11)*20%</f>
        <v>14311027.947359398</v>
      </c>
      <c r="I158" s="646" t="s">
        <v>265</v>
      </c>
      <c r="J158" s="644" t="s">
        <v>253</v>
      </c>
      <c r="K158" s="644">
        <v>1</v>
      </c>
      <c r="L158" s="369" t="s">
        <v>21</v>
      </c>
      <c r="M158" s="369" t="s">
        <v>476</v>
      </c>
    </row>
    <row r="159" spans="6:13" ht="15.75" hidden="1" thickBot="1" x14ac:dyDescent="0.3">
      <c r="F159" s="423">
        <f t="shared" si="6"/>
        <v>156</v>
      </c>
      <c r="G159" s="424" t="s">
        <v>153</v>
      </c>
      <c r="H159" s="421">
        <f>+('RED DISTRIBUCION MES 1'!$AE$52/21)*20%</f>
        <v>10252580.85702277</v>
      </c>
      <c r="I159" s="646" t="s">
        <v>265</v>
      </c>
      <c r="J159" s="644" t="s">
        <v>253</v>
      </c>
      <c r="K159" s="644">
        <v>1</v>
      </c>
      <c r="L159" s="369" t="s">
        <v>21</v>
      </c>
      <c r="M159" s="369" t="s">
        <v>477</v>
      </c>
    </row>
    <row r="160" spans="6:13" hidden="1" x14ac:dyDescent="0.25">
      <c r="F160" s="419">
        <f t="shared" si="6"/>
        <v>157</v>
      </c>
      <c r="G160" s="420" t="s">
        <v>165</v>
      </c>
      <c r="H160" s="421">
        <f>+('RED DISTRIBUCION MES 1'!$S$52/17)*20%</f>
        <v>9260076.9071149062</v>
      </c>
      <c r="I160" s="646" t="s">
        <v>265</v>
      </c>
      <c r="J160" s="644" t="s">
        <v>249</v>
      </c>
      <c r="K160" s="644">
        <v>1</v>
      </c>
      <c r="L160" s="369" t="s">
        <v>21</v>
      </c>
      <c r="M160" s="369" t="s">
        <v>478</v>
      </c>
    </row>
    <row r="161" spans="6:13" hidden="1" x14ac:dyDescent="0.25">
      <c r="F161" s="422">
        <f t="shared" si="6"/>
        <v>158</v>
      </c>
      <c r="G161" s="369" t="s">
        <v>153</v>
      </c>
      <c r="H161" s="421">
        <f>+('RED DISTRIBUCION MES 1'!$AE$52/21)*20%</f>
        <v>10252580.85702277</v>
      </c>
      <c r="I161" s="646" t="s">
        <v>265</v>
      </c>
      <c r="J161" s="644" t="s">
        <v>249</v>
      </c>
      <c r="K161" s="644">
        <v>1</v>
      </c>
      <c r="L161" s="369" t="s">
        <v>21</v>
      </c>
      <c r="M161" s="369" t="s">
        <v>479</v>
      </c>
    </row>
    <row r="162" spans="6:13" ht="15.75" hidden="1" thickBot="1" x14ac:dyDescent="0.3">
      <c r="F162" s="423">
        <f t="shared" si="6"/>
        <v>159</v>
      </c>
      <c r="G162" s="424" t="s">
        <v>165</v>
      </c>
      <c r="H162" s="421">
        <f>+('RED DISTRIBUCION MES 1'!$S$52/17)*20%</f>
        <v>9260076.9071149062</v>
      </c>
      <c r="I162" s="646" t="s">
        <v>265</v>
      </c>
      <c r="J162" s="644" t="s">
        <v>257</v>
      </c>
      <c r="K162" s="644">
        <v>1</v>
      </c>
      <c r="L162" s="369" t="s">
        <v>21</v>
      </c>
      <c r="M162" s="369" t="s">
        <v>480</v>
      </c>
    </row>
    <row r="163" spans="6:13" hidden="1" x14ac:dyDescent="0.25">
      <c r="F163" s="419">
        <f t="shared" si="6"/>
        <v>160</v>
      </c>
      <c r="G163" s="420" t="s">
        <v>153</v>
      </c>
      <c r="H163" s="421">
        <f>+('RED DISTRIBUCION MES 1'!$AE$52/21)*20%</f>
        <v>10252580.85702277</v>
      </c>
      <c r="I163" s="646" t="s">
        <v>265</v>
      </c>
      <c r="J163" s="644" t="s">
        <v>257</v>
      </c>
      <c r="K163" s="644">
        <v>1</v>
      </c>
      <c r="L163" s="369" t="s">
        <v>21</v>
      </c>
      <c r="M163" s="725" t="s">
        <v>481</v>
      </c>
    </row>
    <row r="164" spans="6:13" hidden="1" x14ac:dyDescent="0.25">
      <c r="F164" s="422">
        <f t="shared" ref="F164:F181" si="7">+F163+1</f>
        <v>161</v>
      </c>
      <c r="G164" s="369" t="s">
        <v>165</v>
      </c>
      <c r="H164" s="421">
        <f>+('RED DISTRIBUCION MES 1'!$S$52/17)*20%</f>
        <v>9260076.9071149062</v>
      </c>
      <c r="I164" s="646" t="s">
        <v>265</v>
      </c>
      <c r="J164" s="644" t="s">
        <v>263</v>
      </c>
      <c r="K164" s="644">
        <v>1</v>
      </c>
      <c r="L164" s="369" t="s">
        <v>21</v>
      </c>
      <c r="M164" s="369" t="s">
        <v>482</v>
      </c>
    </row>
    <row r="165" spans="6:13" hidden="1" x14ac:dyDescent="0.25">
      <c r="F165" s="422">
        <f t="shared" si="7"/>
        <v>162</v>
      </c>
      <c r="G165" s="369" t="s">
        <v>153</v>
      </c>
      <c r="H165" s="421">
        <f>+('RED DISTRIBUCION MES 1'!$AE$52/21)*20%</f>
        <v>10252580.85702277</v>
      </c>
      <c r="I165" s="646" t="s">
        <v>265</v>
      </c>
      <c r="J165" s="644" t="s">
        <v>263</v>
      </c>
      <c r="K165" s="644">
        <v>1</v>
      </c>
      <c r="L165" s="369" t="s">
        <v>21</v>
      </c>
      <c r="M165" s="369" t="s">
        <v>483</v>
      </c>
    </row>
    <row r="166" spans="6:13" hidden="1" x14ac:dyDescent="0.25">
      <c r="F166" s="422">
        <f t="shared" si="7"/>
        <v>163</v>
      </c>
      <c r="G166" s="369" t="s">
        <v>153</v>
      </c>
      <c r="H166" s="421">
        <f>+('RED DISTRIBUCION MES 1'!$AE$52/21)*20%</f>
        <v>10252580.85702277</v>
      </c>
      <c r="I166" s="646" t="s">
        <v>265</v>
      </c>
      <c r="J166" s="644" t="s">
        <v>254</v>
      </c>
      <c r="K166" s="644">
        <v>1</v>
      </c>
      <c r="L166" s="369"/>
      <c r="M166" s="369" t="s">
        <v>484</v>
      </c>
    </row>
    <row r="167" spans="6:13" hidden="1" x14ac:dyDescent="0.25">
      <c r="F167" s="422">
        <f t="shared" si="7"/>
        <v>164</v>
      </c>
      <c r="G167" s="369" t="s">
        <v>165</v>
      </c>
      <c r="H167" s="421">
        <f>+('RED DISTRIBUCION MES 1'!$S$52/17)*20%</f>
        <v>9260076.9071149062</v>
      </c>
      <c r="I167" s="646" t="s">
        <v>265</v>
      </c>
      <c r="J167" s="644" t="s">
        <v>244</v>
      </c>
      <c r="K167" s="644">
        <v>1</v>
      </c>
      <c r="L167" s="369"/>
      <c r="M167" s="369" t="s">
        <v>485</v>
      </c>
    </row>
    <row r="168" spans="6:13" hidden="1" x14ac:dyDescent="0.25">
      <c r="F168" s="422">
        <f t="shared" si="7"/>
        <v>165</v>
      </c>
      <c r="G168" s="369" t="s">
        <v>129</v>
      </c>
      <c r="H168" s="421">
        <f>+('RED DISTRIBUCION MES 1'!$V$52/11)*20%</f>
        <v>14311027.947359398</v>
      </c>
      <c r="I168" s="646" t="s">
        <v>265</v>
      </c>
      <c r="J168" s="644" t="s">
        <v>244</v>
      </c>
      <c r="K168" s="644">
        <v>1</v>
      </c>
      <c r="L168" s="369"/>
      <c r="M168" s="724" t="s">
        <v>486</v>
      </c>
    </row>
    <row r="169" spans="6:13" hidden="1" x14ac:dyDescent="0.25">
      <c r="F169" s="422">
        <f t="shared" si="7"/>
        <v>166</v>
      </c>
      <c r="G169" s="369" t="s">
        <v>130</v>
      </c>
      <c r="H169" s="421">
        <f>+'RED DISTRIBUCION MES 1'!$Y$52/3</f>
        <v>65592211.425397247</v>
      </c>
      <c r="I169" s="646" t="s">
        <v>265</v>
      </c>
      <c r="J169" s="644" t="s">
        <v>244</v>
      </c>
      <c r="K169" s="644">
        <v>1</v>
      </c>
      <c r="L169" s="369"/>
      <c r="M169" s="369" t="s">
        <v>487</v>
      </c>
    </row>
    <row r="170" spans="6:13" hidden="1" x14ac:dyDescent="0.25">
      <c r="F170" s="422">
        <f t="shared" si="7"/>
        <v>167</v>
      </c>
      <c r="G170" s="369" t="s">
        <v>153</v>
      </c>
      <c r="H170" s="421">
        <f>+('RED DISTRIBUCION MES 1'!$AE$52/21)*20%</f>
        <v>10252580.85702277</v>
      </c>
      <c r="I170" s="646" t="s">
        <v>265</v>
      </c>
      <c r="J170" s="644" t="s">
        <v>244</v>
      </c>
      <c r="K170" s="644">
        <v>1</v>
      </c>
      <c r="L170" s="369"/>
      <c r="M170" s="369" t="s">
        <v>488</v>
      </c>
    </row>
    <row r="171" spans="6:13" hidden="1" x14ac:dyDescent="0.25">
      <c r="F171" s="422">
        <f t="shared" si="7"/>
        <v>168</v>
      </c>
      <c r="G171" s="369" t="s">
        <v>153</v>
      </c>
      <c r="H171" s="421">
        <f>+('RED DISTRIBUCION MES 1'!$AE$52/21)*20%</f>
        <v>10252580.85702277</v>
      </c>
      <c r="I171" s="646" t="s">
        <v>265</v>
      </c>
      <c r="J171" s="644" t="s">
        <v>244</v>
      </c>
      <c r="K171" s="644">
        <v>2</v>
      </c>
      <c r="L171" s="369"/>
      <c r="M171" s="725" t="s">
        <v>489</v>
      </c>
    </row>
    <row r="172" spans="6:13" hidden="1" x14ac:dyDescent="0.25">
      <c r="F172" s="422">
        <f t="shared" si="7"/>
        <v>169</v>
      </c>
      <c r="G172" s="369" t="s">
        <v>153</v>
      </c>
      <c r="H172" s="421">
        <f>+('RED DISTRIBUCION MES 1'!$AE$52/21)*20%</f>
        <v>10252580.85702277</v>
      </c>
      <c r="I172" s="646" t="s">
        <v>265</v>
      </c>
      <c r="J172" s="644" t="s">
        <v>261</v>
      </c>
      <c r="K172" s="644">
        <v>1</v>
      </c>
      <c r="L172" s="369"/>
      <c r="M172" s="369"/>
    </row>
    <row r="173" spans="6:13" hidden="1" x14ac:dyDescent="0.25">
      <c r="F173" s="422">
        <f t="shared" si="7"/>
        <v>170</v>
      </c>
      <c r="G173" s="369" t="s">
        <v>165</v>
      </c>
      <c r="H173" s="421">
        <f>+('RED DISTRIBUCION MES 1'!$S$52/17)*20%</f>
        <v>9260076.9071149062</v>
      </c>
      <c r="I173" s="646" t="s">
        <v>265</v>
      </c>
      <c r="J173" s="644" t="s">
        <v>250</v>
      </c>
      <c r="K173" s="644">
        <v>1</v>
      </c>
      <c r="L173" s="369"/>
      <c r="M173" s="369" t="s">
        <v>490</v>
      </c>
    </row>
    <row r="174" spans="6:13" hidden="1" x14ac:dyDescent="0.25">
      <c r="F174" s="422">
        <f t="shared" si="7"/>
        <v>171</v>
      </c>
      <c r="G174" s="369" t="s">
        <v>153</v>
      </c>
      <c r="H174" s="421">
        <f>+('RED DISTRIBUCION MES 1'!$AE$52/21)*20%</f>
        <v>10252580.85702277</v>
      </c>
      <c r="I174" s="646" t="s">
        <v>265</v>
      </c>
      <c r="J174" s="644" t="s">
        <v>250</v>
      </c>
      <c r="K174" s="644">
        <v>1</v>
      </c>
      <c r="L174" s="369"/>
      <c r="M174" s="369" t="s">
        <v>491</v>
      </c>
    </row>
    <row r="175" spans="6:13" hidden="1" x14ac:dyDescent="0.25">
      <c r="F175" s="422">
        <f t="shared" si="7"/>
        <v>172</v>
      </c>
      <c r="G175" s="369" t="s">
        <v>165</v>
      </c>
      <c r="H175" s="421">
        <f>+('RED DISTRIBUCION MES 1'!$S$52/17)*20%</f>
        <v>9260076.9071149062</v>
      </c>
      <c r="I175" s="646" t="s">
        <v>265</v>
      </c>
      <c r="J175" s="644" t="s">
        <v>258</v>
      </c>
      <c r="K175" s="644">
        <v>1</v>
      </c>
      <c r="L175" s="369"/>
      <c r="M175" s="369" t="s">
        <v>492</v>
      </c>
    </row>
    <row r="176" spans="6:13" hidden="1" x14ac:dyDescent="0.25">
      <c r="F176" s="422">
        <f t="shared" si="7"/>
        <v>173</v>
      </c>
      <c r="G176" s="369" t="s">
        <v>153</v>
      </c>
      <c r="H176" s="421">
        <f>+('RED DISTRIBUCION MES 1'!$AE$52/21)*20%</f>
        <v>10252580.85702277</v>
      </c>
      <c r="I176" s="646" t="s">
        <v>265</v>
      </c>
      <c r="J176" s="644" t="s">
        <v>258</v>
      </c>
      <c r="K176" s="644">
        <v>1</v>
      </c>
      <c r="L176" s="369"/>
      <c r="M176" s="369" t="s">
        <v>493</v>
      </c>
    </row>
    <row r="177" spans="6:13" hidden="1" x14ac:dyDescent="0.25">
      <c r="F177" s="422">
        <f t="shared" si="7"/>
        <v>174</v>
      </c>
      <c r="G177" s="369" t="s">
        <v>165</v>
      </c>
      <c r="H177" s="421">
        <f>+('RED DISTRIBUCION MES 1'!$S$52/17)*20%</f>
        <v>9260076.9071149062</v>
      </c>
      <c r="I177" s="646" t="s">
        <v>265</v>
      </c>
      <c r="J177" s="644" t="s">
        <v>243</v>
      </c>
      <c r="K177" s="644">
        <v>1</v>
      </c>
      <c r="L177" s="369"/>
      <c r="M177" s="369" t="s">
        <v>494</v>
      </c>
    </row>
    <row r="178" spans="6:13" hidden="1" x14ac:dyDescent="0.25">
      <c r="F178" s="422">
        <f t="shared" si="7"/>
        <v>175</v>
      </c>
      <c r="G178" s="369" t="s">
        <v>129</v>
      </c>
      <c r="H178" s="421">
        <f>+('RED DISTRIBUCION MES 1'!$V$52/11)*20%</f>
        <v>14311027.947359398</v>
      </c>
      <c r="I178" s="646" t="s">
        <v>265</v>
      </c>
      <c r="J178" s="644" t="s">
        <v>243</v>
      </c>
      <c r="K178" s="644">
        <v>1</v>
      </c>
      <c r="L178" s="369"/>
      <c r="M178" s="726" t="s">
        <v>495</v>
      </c>
    </row>
    <row r="179" spans="6:13" hidden="1" x14ac:dyDescent="0.25">
      <c r="F179" s="422">
        <f t="shared" si="7"/>
        <v>176</v>
      </c>
      <c r="G179" s="369" t="s">
        <v>153</v>
      </c>
      <c r="H179" s="421">
        <f>+('RED DISTRIBUCION MES 1'!$AE$52/21)*20%</f>
        <v>10252580.85702277</v>
      </c>
      <c r="I179" s="646" t="s">
        <v>265</v>
      </c>
      <c r="J179" s="644" t="s">
        <v>243</v>
      </c>
      <c r="K179" s="644">
        <v>1</v>
      </c>
      <c r="L179" s="369"/>
      <c r="M179" s="369" t="s">
        <v>496</v>
      </c>
    </row>
    <row r="180" spans="6:13" hidden="1" x14ac:dyDescent="0.25">
      <c r="F180" s="422">
        <f t="shared" si="7"/>
        <v>177</v>
      </c>
      <c r="G180" s="369" t="s">
        <v>165</v>
      </c>
      <c r="H180" s="421">
        <f>+('RED DISTRIBUCION MES 1'!$S$52/17)*20%</f>
        <v>9260076.9071149062</v>
      </c>
      <c r="I180" s="646" t="s">
        <v>265</v>
      </c>
      <c r="J180" s="644" t="s">
        <v>260</v>
      </c>
      <c r="K180" s="644">
        <v>1</v>
      </c>
      <c r="L180" s="369"/>
      <c r="M180" s="369" t="s">
        <v>497</v>
      </c>
    </row>
    <row r="181" spans="6:13" hidden="1" x14ac:dyDescent="0.25">
      <c r="F181" s="422">
        <f t="shared" si="7"/>
        <v>178</v>
      </c>
      <c r="G181" s="369" t="s">
        <v>153</v>
      </c>
      <c r="H181" s="421">
        <f>+('RED DISTRIBUCION MES 1'!$AE$52/21)*20%</f>
        <v>10252580.85702277</v>
      </c>
      <c r="I181" s="646" t="s">
        <v>265</v>
      </c>
      <c r="J181" s="644" t="s">
        <v>260</v>
      </c>
      <c r="K181" s="644">
        <v>1</v>
      </c>
      <c r="L181" s="369"/>
      <c r="M181" s="369" t="s">
        <v>498</v>
      </c>
    </row>
    <row r="182" spans="6:13" hidden="1" x14ac:dyDescent="0.25">
      <c r="F182" s="422">
        <f t="shared" ref="F182:F183" si="8">+F181+1</f>
        <v>179</v>
      </c>
      <c r="G182" s="369" t="s">
        <v>131</v>
      </c>
      <c r="H182" s="421">
        <f>+'RED DISTRIBUCION MES 1'!$AB$52/3</f>
        <v>65592211.425397247</v>
      </c>
      <c r="I182" s="646" t="s">
        <v>265</v>
      </c>
      <c r="J182" s="644"/>
      <c r="K182" s="644"/>
      <c r="L182" s="369"/>
      <c r="M182" s="369" t="s">
        <v>447</v>
      </c>
    </row>
    <row r="183" spans="6:13" ht="15.75" hidden="1" thickBot="1" x14ac:dyDescent="0.3">
      <c r="F183" s="423">
        <f t="shared" si="8"/>
        <v>180</v>
      </c>
      <c r="G183" s="424" t="s">
        <v>131</v>
      </c>
      <c r="H183" s="421">
        <f>+'RED DISTRIBUCION MES 1'!$AB$52/3</f>
        <v>65592211.425397247</v>
      </c>
      <c r="I183" s="646" t="s">
        <v>265</v>
      </c>
      <c r="J183" s="644"/>
      <c r="K183" s="644"/>
      <c r="L183" s="369"/>
      <c r="M183" s="369" t="s">
        <v>447</v>
      </c>
    </row>
    <row r="184" spans="6:13" x14ac:dyDescent="0.25">
      <c r="F184" s="554"/>
    </row>
  </sheetData>
  <autoFilter ref="A3:M183">
    <filterColumn colId="8">
      <filters>
        <filter val="LARGA"/>
      </filters>
    </filterColumn>
  </autoFilter>
  <sortState ref="F132:K181">
    <sortCondition ref="J4:J181"/>
  </sortState>
  <mergeCells count="1">
    <mergeCell ref="A1:L1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G9"/>
  <sheetViews>
    <sheetView tabSelected="1" workbookViewId="0">
      <selection activeCell="C5" sqref="C5"/>
    </sheetView>
  </sheetViews>
  <sheetFormatPr baseColWidth="10" defaultRowHeight="15" x14ac:dyDescent="0.25"/>
  <cols>
    <col min="1" max="6" width="11.42578125" style="1"/>
    <col min="7" max="7" width="11.42578125" style="707"/>
    <col min="8" max="8" width="11.42578125" style="1"/>
    <col min="9" max="9" width="11.42578125" style="707"/>
    <col min="10" max="10" width="11.42578125" style="1"/>
    <col min="11" max="11" width="11.42578125" style="707"/>
    <col min="12" max="13" width="11.42578125" style="1"/>
    <col min="14" max="14" width="11.42578125" style="707"/>
    <col min="15" max="15" width="11.42578125" style="1"/>
    <col min="16" max="16" width="11.42578125" style="707"/>
    <col min="17" max="17" width="11.42578125" style="1"/>
    <col min="18" max="18" width="11.42578125" style="707"/>
    <col min="19" max="21" width="11.42578125" style="1"/>
    <col min="22" max="22" width="11.42578125" style="707"/>
    <col min="23" max="23" width="11.42578125" style="1"/>
    <col min="24" max="24" width="11.42578125" style="707"/>
    <col min="25" max="25" width="11.42578125" style="1"/>
    <col min="26" max="26" width="11.42578125" style="707"/>
    <col min="27" max="28" width="11.42578125" style="1"/>
    <col min="29" max="29" width="11.42578125" style="707"/>
    <col min="30" max="30" width="11.42578125" style="1"/>
    <col min="31" max="31" width="11.42578125" style="707"/>
    <col min="32" max="32" width="11.42578125" style="1"/>
    <col min="33" max="33" width="11.42578125" style="707"/>
    <col min="34" max="16384" width="11.42578125" style="1"/>
  </cols>
  <sheetData>
    <row r="1" spans="3:6" x14ac:dyDescent="0.25">
      <c r="C1" s="734"/>
      <c r="D1" s="735"/>
      <c r="E1" s="735"/>
      <c r="F1" s="736"/>
    </row>
    <row r="2" spans="3:6" ht="15.75" thickBot="1" x14ac:dyDescent="0.3">
      <c r="C2" s="737"/>
      <c r="D2" s="738"/>
      <c r="E2" s="738"/>
      <c r="F2" s="739"/>
    </row>
    <row r="3" spans="3:6" x14ac:dyDescent="0.25">
      <c r="C3" s="734"/>
      <c r="D3" s="735"/>
      <c r="E3" s="735"/>
      <c r="F3" s="736"/>
    </row>
    <row r="4" spans="3:6" x14ac:dyDescent="0.25">
      <c r="C4" s="737"/>
      <c r="D4" s="738"/>
      <c r="E4" s="738"/>
      <c r="F4" s="739"/>
    </row>
    <row r="5" spans="3:6" ht="15.75" thickBot="1" x14ac:dyDescent="0.3">
      <c r="C5" s="740" t="s">
        <v>499</v>
      </c>
      <c r="D5" s="741"/>
      <c r="E5" s="741"/>
      <c r="F5" s="742"/>
    </row>
    <row r="6" spans="3:6" x14ac:dyDescent="0.25">
      <c r="C6" s="737"/>
      <c r="D6" s="738"/>
      <c r="E6" s="738"/>
      <c r="F6" s="739"/>
    </row>
    <row r="7" spans="3:6" x14ac:dyDescent="0.25">
      <c r="C7" s="737" t="s">
        <v>500</v>
      </c>
      <c r="D7" s="738"/>
      <c r="E7" s="738"/>
      <c r="F7" s="739"/>
    </row>
    <row r="8" spans="3:6" x14ac:dyDescent="0.25">
      <c r="C8" s="737" t="s">
        <v>501</v>
      </c>
      <c r="D8" s="738"/>
      <c r="E8" s="738"/>
      <c r="F8" s="739"/>
    </row>
    <row r="9" spans="3:6" ht="15.75" thickBot="1" x14ac:dyDescent="0.3">
      <c r="C9" s="743"/>
      <c r="D9" s="741"/>
      <c r="E9" s="741"/>
      <c r="F9" s="742"/>
    </row>
  </sheetData>
  <hyperlinks>
    <hyperlink ref="C5" r:id="rId1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workbookViewId="0">
      <selection activeCell="C4" sqref="C4"/>
    </sheetView>
  </sheetViews>
  <sheetFormatPr baseColWidth="10" defaultRowHeight="15" x14ac:dyDescent="0.25"/>
  <cols>
    <col min="1" max="1" width="17.28515625" style="1" customWidth="1"/>
    <col min="2" max="2" width="23.28515625" customWidth="1"/>
    <col min="3" max="3" width="23.28515625" style="1" customWidth="1"/>
    <col min="4" max="4" width="10.85546875" style="1" customWidth="1"/>
    <col min="5" max="5" width="3.5703125" customWidth="1"/>
    <col min="6" max="6" width="3.5703125" style="707" customWidth="1"/>
    <col min="7" max="7" width="3.5703125" customWidth="1"/>
    <col min="8" max="8" width="3.5703125" style="707" customWidth="1"/>
    <col min="9" max="9" width="3.5703125" customWidth="1"/>
    <col min="10" max="10" width="3.5703125" style="707" customWidth="1"/>
    <col min="11" max="12" width="3.5703125" customWidth="1"/>
    <col min="13" max="13" width="3.5703125" style="707" customWidth="1"/>
    <col min="14" max="14" width="3.5703125" customWidth="1"/>
    <col min="15" max="15" width="3.42578125" style="707" customWidth="1"/>
    <col min="16" max="16" width="3.42578125" customWidth="1"/>
    <col min="17" max="17" width="3.42578125" style="707" customWidth="1"/>
    <col min="18" max="20" width="3.42578125" customWidth="1"/>
    <col min="21" max="21" width="3.42578125" style="707" customWidth="1"/>
    <col min="22" max="22" width="3.42578125" customWidth="1"/>
    <col min="23" max="23" width="3.42578125" style="707" customWidth="1"/>
    <col min="24" max="24" width="3.42578125" customWidth="1"/>
    <col min="25" max="25" width="3.42578125" style="707" customWidth="1"/>
    <col min="26" max="27" width="3.42578125" customWidth="1"/>
    <col min="28" max="28" width="3.42578125" style="707" customWidth="1"/>
    <col min="29" max="29" width="3.42578125" customWidth="1"/>
    <col min="30" max="30" width="3.42578125" style="707" customWidth="1"/>
    <col min="31" max="31" width="3.42578125" customWidth="1"/>
    <col min="32" max="32" width="3.42578125" style="707" customWidth="1"/>
    <col min="33" max="34" width="3.42578125" customWidth="1"/>
  </cols>
  <sheetData>
    <row r="1" spans="1:34" ht="30" x14ac:dyDescent="0.4">
      <c r="A1" s="812" t="s">
        <v>181</v>
      </c>
      <c r="B1" s="813"/>
      <c r="C1" s="813"/>
      <c r="D1" s="813"/>
      <c r="E1" s="813"/>
      <c r="F1" s="813"/>
      <c r="G1" s="813"/>
      <c r="H1" s="813"/>
      <c r="I1" s="813"/>
      <c r="J1" s="813"/>
      <c r="K1" s="813"/>
      <c r="L1" s="813"/>
      <c r="M1" s="813"/>
      <c r="N1" s="813"/>
      <c r="O1" s="813"/>
      <c r="P1" s="813"/>
      <c r="Q1" s="813"/>
      <c r="R1" s="813"/>
      <c r="S1" s="813"/>
      <c r="T1" s="813"/>
      <c r="U1" s="813"/>
      <c r="V1" s="813"/>
      <c r="W1" s="813"/>
      <c r="X1" s="813"/>
      <c r="Y1" s="813"/>
      <c r="Z1" s="813"/>
      <c r="AA1" s="813"/>
      <c r="AB1" s="813"/>
      <c r="AC1" s="813"/>
      <c r="AD1" s="813"/>
      <c r="AE1" s="813"/>
      <c r="AF1" s="813"/>
      <c r="AG1" s="813"/>
      <c r="AH1" s="813"/>
    </row>
    <row r="2" spans="1:34" s="1" customFormat="1" ht="21" thickBot="1" x14ac:dyDescent="0.35">
      <c r="A2" s="814" t="s">
        <v>185</v>
      </c>
      <c r="B2" s="815"/>
      <c r="C2" s="815"/>
      <c r="D2" s="815"/>
      <c r="E2" s="815"/>
      <c r="F2" s="815"/>
      <c r="G2" s="815"/>
      <c r="H2" s="815"/>
      <c r="I2" s="815"/>
      <c r="J2" s="815"/>
      <c r="K2" s="815"/>
      <c r="L2" s="815"/>
      <c r="M2" s="815"/>
      <c r="N2" s="815"/>
      <c r="O2" s="815"/>
      <c r="P2" s="815"/>
      <c r="Q2" s="815"/>
      <c r="R2" s="815"/>
      <c r="S2" s="815"/>
      <c r="T2" s="815"/>
      <c r="U2" s="815"/>
      <c r="V2" s="815"/>
      <c r="W2" s="815"/>
      <c r="X2" s="815"/>
      <c r="Y2" s="815"/>
      <c r="Z2" s="815"/>
      <c r="AA2" s="815"/>
      <c r="AB2" s="815"/>
      <c r="AC2" s="815"/>
      <c r="AD2" s="815"/>
      <c r="AE2" s="815"/>
      <c r="AF2" s="815"/>
      <c r="AG2" s="815"/>
      <c r="AH2" s="815"/>
    </row>
    <row r="3" spans="1:34" s="557" customFormat="1" ht="46.5" thickBot="1" x14ac:dyDescent="0.35">
      <c r="A3" s="555" t="s">
        <v>184</v>
      </c>
      <c r="B3" s="556" t="s">
        <v>162</v>
      </c>
      <c r="C3" s="755" t="s">
        <v>527</v>
      </c>
      <c r="D3" s="558" t="s">
        <v>187</v>
      </c>
      <c r="E3" s="714">
        <v>1</v>
      </c>
      <c r="F3" s="715">
        <f>+E3+1</f>
        <v>2</v>
      </c>
      <c r="G3" s="715">
        <f t="shared" ref="G3:AH3" si="0">+F3+1</f>
        <v>3</v>
      </c>
      <c r="H3" s="715">
        <f t="shared" si="0"/>
        <v>4</v>
      </c>
      <c r="I3" s="715">
        <f t="shared" si="0"/>
        <v>5</v>
      </c>
      <c r="J3" s="715">
        <f t="shared" si="0"/>
        <v>6</v>
      </c>
      <c r="K3" s="716">
        <f t="shared" si="0"/>
        <v>7</v>
      </c>
      <c r="L3" s="714">
        <f t="shared" si="0"/>
        <v>8</v>
      </c>
      <c r="M3" s="715">
        <f t="shared" si="0"/>
        <v>9</v>
      </c>
      <c r="N3" s="715">
        <f t="shared" si="0"/>
        <v>10</v>
      </c>
      <c r="O3" s="715">
        <f t="shared" si="0"/>
        <v>11</v>
      </c>
      <c r="P3" s="715">
        <f t="shared" si="0"/>
        <v>12</v>
      </c>
      <c r="Q3" s="715">
        <f t="shared" si="0"/>
        <v>13</v>
      </c>
      <c r="R3" s="715">
        <f t="shared" si="0"/>
        <v>14</v>
      </c>
      <c r="S3" s="716">
        <f t="shared" si="0"/>
        <v>15</v>
      </c>
      <c r="T3" s="714">
        <f t="shared" si="0"/>
        <v>16</v>
      </c>
      <c r="U3" s="715">
        <f t="shared" si="0"/>
        <v>17</v>
      </c>
      <c r="V3" s="715">
        <f t="shared" si="0"/>
        <v>18</v>
      </c>
      <c r="W3" s="715">
        <f t="shared" si="0"/>
        <v>19</v>
      </c>
      <c r="X3" s="715">
        <f t="shared" si="0"/>
        <v>20</v>
      </c>
      <c r="Y3" s="715">
        <f t="shared" si="0"/>
        <v>21</v>
      </c>
      <c r="Z3" s="716">
        <f t="shared" si="0"/>
        <v>22</v>
      </c>
      <c r="AA3" s="714">
        <f t="shared" si="0"/>
        <v>23</v>
      </c>
      <c r="AB3" s="715">
        <f t="shared" si="0"/>
        <v>24</v>
      </c>
      <c r="AC3" s="715">
        <f t="shared" si="0"/>
        <v>25</v>
      </c>
      <c r="AD3" s="715">
        <f t="shared" si="0"/>
        <v>26</v>
      </c>
      <c r="AE3" s="715">
        <f t="shared" si="0"/>
        <v>27</v>
      </c>
      <c r="AF3" s="715">
        <f t="shared" si="0"/>
        <v>28</v>
      </c>
      <c r="AG3" s="715">
        <f t="shared" si="0"/>
        <v>29</v>
      </c>
      <c r="AH3" s="716">
        <f t="shared" si="0"/>
        <v>30</v>
      </c>
    </row>
    <row r="4" spans="1:34" ht="30.75" customHeight="1" thickBot="1" x14ac:dyDescent="0.3">
      <c r="A4" s="553" t="s">
        <v>125</v>
      </c>
      <c r="B4" s="559" t="s">
        <v>182</v>
      </c>
      <c r="C4" s="752">
        <v>0.5</v>
      </c>
      <c r="D4" s="751">
        <v>88</v>
      </c>
      <c r="E4" s="717" t="s">
        <v>186</v>
      </c>
      <c r="F4" s="718" t="s">
        <v>21</v>
      </c>
      <c r="G4" s="718"/>
      <c r="H4" s="718"/>
      <c r="I4" s="718"/>
      <c r="J4" s="718"/>
      <c r="K4" s="719"/>
      <c r="L4" s="717" t="s">
        <v>186</v>
      </c>
      <c r="M4" s="718" t="s">
        <v>21</v>
      </c>
      <c r="N4" s="718" t="s">
        <v>21</v>
      </c>
      <c r="O4" s="718"/>
      <c r="P4" s="718"/>
      <c r="Q4" s="718"/>
      <c r="R4" s="718"/>
      <c r="S4" s="719" t="s">
        <v>21</v>
      </c>
      <c r="T4" s="717" t="s">
        <v>186</v>
      </c>
      <c r="U4" s="718" t="s">
        <v>21</v>
      </c>
      <c r="V4" s="718" t="s">
        <v>21</v>
      </c>
      <c r="W4" s="718"/>
      <c r="X4" s="718" t="s">
        <v>21</v>
      </c>
      <c r="Y4" s="718"/>
      <c r="Z4" s="719" t="s">
        <v>21</v>
      </c>
      <c r="AA4" s="717" t="s">
        <v>186</v>
      </c>
      <c r="AB4" s="718" t="s">
        <v>21</v>
      </c>
      <c r="AC4" s="718" t="s">
        <v>21</v>
      </c>
      <c r="AD4" s="718"/>
      <c r="AE4" s="718"/>
      <c r="AF4" s="718"/>
      <c r="AG4" s="718"/>
      <c r="AH4" s="719"/>
    </row>
    <row r="5" spans="1:34" ht="30" customHeight="1" x14ac:dyDescent="0.25">
      <c r="A5" s="807" t="s">
        <v>126</v>
      </c>
      <c r="B5" s="560" t="s">
        <v>183</v>
      </c>
      <c r="C5" s="816">
        <v>0.2</v>
      </c>
      <c r="D5" s="753">
        <v>18</v>
      </c>
      <c r="E5" s="717" t="s">
        <v>21</v>
      </c>
      <c r="F5" s="718" t="s">
        <v>21</v>
      </c>
      <c r="G5" s="718" t="s">
        <v>186</v>
      </c>
      <c r="H5" s="718" t="s">
        <v>21</v>
      </c>
      <c r="I5" s="718"/>
      <c r="J5" s="718" t="s">
        <v>21</v>
      </c>
      <c r="K5" s="719"/>
      <c r="L5" s="717" t="s">
        <v>21</v>
      </c>
      <c r="M5" s="718" t="s">
        <v>21</v>
      </c>
      <c r="N5" s="718" t="s">
        <v>186</v>
      </c>
      <c r="O5" s="718" t="s">
        <v>21</v>
      </c>
      <c r="P5" s="718" t="s">
        <v>21</v>
      </c>
      <c r="Q5" s="718"/>
      <c r="R5" s="718"/>
      <c r="S5" s="719"/>
      <c r="T5" s="717" t="s">
        <v>21</v>
      </c>
      <c r="U5" s="718" t="s">
        <v>21</v>
      </c>
      <c r="V5" s="718" t="s">
        <v>186</v>
      </c>
      <c r="W5" s="718" t="s">
        <v>21</v>
      </c>
      <c r="X5" s="718"/>
      <c r="Y5" s="718"/>
      <c r="Z5" s="719"/>
      <c r="AA5" s="717"/>
      <c r="AB5" s="718" t="s">
        <v>21</v>
      </c>
      <c r="AC5" s="718" t="s">
        <v>206</v>
      </c>
      <c r="AD5" s="718" t="s">
        <v>21</v>
      </c>
      <c r="AE5" s="718"/>
      <c r="AF5" s="718"/>
      <c r="AG5" s="718"/>
      <c r="AH5" s="719" t="s">
        <v>21</v>
      </c>
    </row>
    <row r="6" spans="1:34" ht="30" customHeight="1" thickBot="1" x14ac:dyDescent="0.3">
      <c r="A6" s="808"/>
      <c r="B6" s="561" t="s">
        <v>153</v>
      </c>
      <c r="C6" s="817"/>
      <c r="D6" s="753">
        <v>19</v>
      </c>
      <c r="E6" s="717" t="s">
        <v>21</v>
      </c>
      <c r="F6" s="718" t="s">
        <v>21</v>
      </c>
      <c r="G6" s="718" t="s">
        <v>186</v>
      </c>
      <c r="H6" s="718" t="s">
        <v>21</v>
      </c>
      <c r="I6" s="718"/>
      <c r="J6" s="718"/>
      <c r="K6" s="719"/>
      <c r="L6" s="717"/>
      <c r="M6" s="718" t="s">
        <v>21</v>
      </c>
      <c r="N6" s="718" t="s">
        <v>186</v>
      </c>
      <c r="O6" s="718" t="s">
        <v>21</v>
      </c>
      <c r="P6" s="718"/>
      <c r="Q6" s="718"/>
      <c r="R6" s="718"/>
      <c r="S6" s="719"/>
      <c r="T6" s="717"/>
      <c r="U6" s="718" t="s">
        <v>21</v>
      </c>
      <c r="V6" s="718" t="s">
        <v>186</v>
      </c>
      <c r="W6" s="718" t="s">
        <v>21</v>
      </c>
      <c r="X6" s="718"/>
      <c r="Y6" s="718"/>
      <c r="Z6" s="719"/>
      <c r="AA6" s="717"/>
      <c r="AB6" s="718" t="s">
        <v>21</v>
      </c>
      <c r="AC6" s="718" t="s">
        <v>186</v>
      </c>
      <c r="AD6" s="718" t="s">
        <v>21</v>
      </c>
      <c r="AE6" s="718"/>
      <c r="AF6" s="718"/>
      <c r="AG6" s="718"/>
      <c r="AH6" s="719" t="s">
        <v>21</v>
      </c>
    </row>
    <row r="7" spans="1:34" ht="30.75" customHeight="1" x14ac:dyDescent="0.25">
      <c r="A7" s="809" t="s">
        <v>127</v>
      </c>
      <c r="B7" s="562" t="s">
        <v>165</v>
      </c>
      <c r="C7" s="818">
        <v>0.3</v>
      </c>
      <c r="D7" s="754">
        <v>17</v>
      </c>
      <c r="E7" s="717" t="s">
        <v>21</v>
      </c>
      <c r="F7" s="718"/>
      <c r="G7" s="718"/>
      <c r="H7" s="718" t="s">
        <v>21</v>
      </c>
      <c r="I7" s="718" t="s">
        <v>186</v>
      </c>
      <c r="J7" s="718" t="s">
        <v>21</v>
      </c>
      <c r="K7" s="719"/>
      <c r="L7" s="717"/>
      <c r="M7" s="718"/>
      <c r="N7" s="718" t="s">
        <v>21</v>
      </c>
      <c r="O7" s="718" t="s">
        <v>21</v>
      </c>
      <c r="P7" s="718" t="s">
        <v>186</v>
      </c>
      <c r="Q7" s="718" t="s">
        <v>21</v>
      </c>
      <c r="R7" s="718"/>
      <c r="S7" s="719" t="s">
        <v>21</v>
      </c>
      <c r="T7" s="717"/>
      <c r="U7" s="718"/>
      <c r="V7" s="718" t="s">
        <v>21</v>
      </c>
      <c r="W7" s="718" t="s">
        <v>21</v>
      </c>
      <c r="X7" s="718" t="s">
        <v>186</v>
      </c>
      <c r="Y7" s="718" t="s">
        <v>21</v>
      </c>
      <c r="Z7" s="719"/>
      <c r="AA7" s="717"/>
      <c r="AB7" s="718"/>
      <c r="AC7" s="718" t="s">
        <v>21</v>
      </c>
      <c r="AD7" s="718" t="s">
        <v>21</v>
      </c>
      <c r="AE7" s="718" t="s">
        <v>186</v>
      </c>
      <c r="AF7" s="718" t="s">
        <v>21</v>
      </c>
      <c r="AG7" s="718"/>
      <c r="AH7" s="719" t="s">
        <v>21</v>
      </c>
    </row>
    <row r="8" spans="1:34" ht="30.75" customHeight="1" x14ac:dyDescent="0.25">
      <c r="A8" s="810"/>
      <c r="B8" s="563" t="s">
        <v>188</v>
      </c>
      <c r="C8" s="819"/>
      <c r="D8" s="754">
        <v>11</v>
      </c>
      <c r="E8" s="717" t="s">
        <v>21</v>
      </c>
      <c r="F8" s="718"/>
      <c r="G8" s="718" t="s">
        <v>21</v>
      </c>
      <c r="H8" s="718"/>
      <c r="I8" s="718" t="s">
        <v>186</v>
      </c>
      <c r="J8" s="718" t="s">
        <v>21</v>
      </c>
      <c r="K8" s="719"/>
      <c r="L8" s="717"/>
      <c r="M8" s="718"/>
      <c r="N8" s="718" t="s">
        <v>21</v>
      </c>
      <c r="O8" s="718" t="s">
        <v>21</v>
      </c>
      <c r="P8" s="718" t="s">
        <v>186</v>
      </c>
      <c r="Q8" s="718" t="s">
        <v>21</v>
      </c>
      <c r="R8" s="718"/>
      <c r="S8" s="719" t="s">
        <v>21</v>
      </c>
      <c r="T8" s="717"/>
      <c r="U8" s="718"/>
      <c r="V8" s="718" t="s">
        <v>21</v>
      </c>
      <c r="W8" s="718"/>
      <c r="X8" s="718" t="s">
        <v>186</v>
      </c>
      <c r="Y8" s="718" t="s">
        <v>21</v>
      </c>
      <c r="Z8" s="719"/>
      <c r="AA8" s="717"/>
      <c r="AB8" s="718"/>
      <c r="AC8" s="718" t="s">
        <v>21</v>
      </c>
      <c r="AD8" s="718"/>
      <c r="AE8" s="718" t="s">
        <v>186</v>
      </c>
      <c r="AF8" s="718" t="s">
        <v>21</v>
      </c>
      <c r="AG8" s="718"/>
      <c r="AH8" s="719" t="s">
        <v>21</v>
      </c>
    </row>
    <row r="9" spans="1:34" ht="30.75" customHeight="1" x14ac:dyDescent="0.25">
      <c r="A9" s="810"/>
      <c r="B9" s="563" t="s">
        <v>130</v>
      </c>
      <c r="C9" s="819"/>
      <c r="D9" s="754">
        <v>3</v>
      </c>
      <c r="E9" s="717" t="s">
        <v>21</v>
      </c>
      <c r="F9" s="718"/>
      <c r="G9" s="718"/>
      <c r="H9" s="718"/>
      <c r="I9" s="718" t="s">
        <v>21</v>
      </c>
      <c r="J9" s="718" t="s">
        <v>21</v>
      </c>
      <c r="K9" s="719"/>
      <c r="L9" s="717"/>
      <c r="M9" s="718"/>
      <c r="N9" s="718" t="s">
        <v>21</v>
      </c>
      <c r="O9" s="718"/>
      <c r="P9" s="718"/>
      <c r="Q9" s="718"/>
      <c r="R9" s="718" t="s">
        <v>21</v>
      </c>
      <c r="S9" s="719" t="s">
        <v>21</v>
      </c>
      <c r="T9" s="717" t="s">
        <v>21</v>
      </c>
      <c r="U9" s="718"/>
      <c r="V9" s="718"/>
      <c r="W9" s="718"/>
      <c r="X9" s="718" t="s">
        <v>21</v>
      </c>
      <c r="Y9" s="718" t="s">
        <v>21</v>
      </c>
      <c r="Z9" s="719"/>
      <c r="AA9" s="717"/>
      <c r="AB9" s="718"/>
      <c r="AC9" s="718" t="s">
        <v>21</v>
      </c>
      <c r="AD9" s="718"/>
      <c r="AE9" s="718"/>
      <c r="AF9" s="718" t="s">
        <v>21</v>
      </c>
      <c r="AG9" s="718"/>
      <c r="AH9" s="719" t="s">
        <v>21</v>
      </c>
    </row>
    <row r="10" spans="1:34" ht="30.75" customHeight="1" x14ac:dyDescent="0.25">
      <c r="A10" s="810"/>
      <c r="B10" s="563" t="s">
        <v>131</v>
      </c>
      <c r="C10" s="819"/>
      <c r="D10" s="754">
        <v>3</v>
      </c>
      <c r="E10" s="717" t="s">
        <v>21</v>
      </c>
      <c r="F10" s="718"/>
      <c r="G10" s="718"/>
      <c r="H10" s="718"/>
      <c r="I10" s="718" t="s">
        <v>21</v>
      </c>
      <c r="J10" s="718" t="s">
        <v>21</v>
      </c>
      <c r="K10" s="719" t="s">
        <v>21</v>
      </c>
      <c r="L10" s="717"/>
      <c r="M10" s="718"/>
      <c r="N10" s="718" t="s">
        <v>21</v>
      </c>
      <c r="O10" s="718"/>
      <c r="P10" s="718"/>
      <c r="Q10" s="718"/>
      <c r="R10" s="718" t="s">
        <v>21</v>
      </c>
      <c r="S10" s="719" t="s">
        <v>21</v>
      </c>
      <c r="T10" s="717"/>
      <c r="U10" s="718"/>
      <c r="V10" s="718"/>
      <c r="W10" s="718"/>
      <c r="X10" s="718" t="s">
        <v>21</v>
      </c>
      <c r="Y10" s="718" t="s">
        <v>21</v>
      </c>
      <c r="Z10" s="719"/>
      <c r="AA10" s="717"/>
      <c r="AB10" s="718"/>
      <c r="AC10" s="718" t="s">
        <v>21</v>
      </c>
      <c r="AD10" s="718"/>
      <c r="AE10" s="718"/>
      <c r="AF10" s="718"/>
      <c r="AG10" s="718" t="s">
        <v>21</v>
      </c>
      <c r="AH10" s="719" t="s">
        <v>21</v>
      </c>
    </row>
    <row r="11" spans="1:34" ht="30.75" customHeight="1" thickBot="1" x14ac:dyDescent="0.3">
      <c r="A11" s="811"/>
      <c r="B11" s="564" t="s">
        <v>153</v>
      </c>
      <c r="C11" s="820"/>
      <c r="D11" s="754">
        <v>21</v>
      </c>
      <c r="E11" s="720" t="s">
        <v>21</v>
      </c>
      <c r="F11" s="721"/>
      <c r="G11" s="721"/>
      <c r="H11" s="721"/>
      <c r="I11" s="721" t="s">
        <v>186</v>
      </c>
      <c r="J11" s="721" t="s">
        <v>21</v>
      </c>
      <c r="K11" s="722" t="s">
        <v>21</v>
      </c>
      <c r="L11" s="720"/>
      <c r="M11" s="721"/>
      <c r="N11" s="721" t="s">
        <v>21</v>
      </c>
      <c r="O11" s="721" t="s">
        <v>21</v>
      </c>
      <c r="P11" s="721" t="s">
        <v>186</v>
      </c>
      <c r="Q11" s="721" t="s">
        <v>21</v>
      </c>
      <c r="R11" s="721" t="s">
        <v>21</v>
      </c>
      <c r="S11" s="722" t="s">
        <v>21</v>
      </c>
      <c r="T11" s="720"/>
      <c r="U11" s="721"/>
      <c r="V11" s="721" t="s">
        <v>21</v>
      </c>
      <c r="W11" s="721"/>
      <c r="X11" s="721" t="s">
        <v>206</v>
      </c>
      <c r="Y11" s="721" t="s">
        <v>21</v>
      </c>
      <c r="Z11" s="722" t="s">
        <v>21</v>
      </c>
      <c r="AA11" s="720"/>
      <c r="AB11" s="721"/>
      <c r="AC11" s="721" t="s">
        <v>21</v>
      </c>
      <c r="AD11" s="721"/>
      <c r="AE11" s="721" t="s">
        <v>186</v>
      </c>
      <c r="AF11" s="721" t="s">
        <v>21</v>
      </c>
      <c r="AG11" s="721"/>
      <c r="AH11" s="722" t="s">
        <v>21</v>
      </c>
    </row>
    <row r="12" spans="1:34" x14ac:dyDescent="0.25">
      <c r="D12" s="552" t="s">
        <v>21</v>
      </c>
    </row>
    <row r="14" spans="1:34" x14ac:dyDescent="0.25">
      <c r="D14" s="712"/>
      <c r="E14" s="708"/>
      <c r="F14" s="710"/>
    </row>
    <row r="15" spans="1:34" x14ac:dyDescent="0.25">
      <c r="E15" s="711"/>
      <c r="F15" s="709"/>
    </row>
  </sheetData>
  <mergeCells count="6">
    <mergeCell ref="A5:A6"/>
    <mergeCell ref="A7:A11"/>
    <mergeCell ref="A1:AH1"/>
    <mergeCell ref="A2:AH2"/>
    <mergeCell ref="C5:C6"/>
    <mergeCell ref="C7:C11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opLeftCell="A4" workbookViewId="0">
      <selection activeCell="F26" sqref="F26"/>
    </sheetView>
  </sheetViews>
  <sheetFormatPr baseColWidth="10" defaultRowHeight="15" x14ac:dyDescent="0.25"/>
  <cols>
    <col min="1" max="1" width="22.28515625" customWidth="1"/>
    <col min="3" max="3" width="17.85546875" customWidth="1"/>
    <col min="4" max="4" width="11.140625" customWidth="1"/>
    <col min="5" max="5" width="13.28515625" customWidth="1"/>
    <col min="6" max="6" width="11" customWidth="1"/>
    <col min="9" max="9" width="11.42578125" style="364"/>
    <col min="10" max="10" width="7.5703125" style="364" customWidth="1"/>
    <col min="11" max="11" width="11.42578125" style="364"/>
    <col min="13" max="13" width="15.140625" customWidth="1"/>
    <col min="14" max="20" width="3.5703125" customWidth="1"/>
  </cols>
  <sheetData>
    <row r="1" spans="1:20" ht="23.25" x14ac:dyDescent="0.35">
      <c r="A1" s="801" t="s">
        <v>291</v>
      </c>
      <c r="B1" s="801"/>
      <c r="C1" s="801"/>
      <c r="D1" s="801"/>
      <c r="E1" s="801"/>
      <c r="F1" s="801"/>
      <c r="G1" s="801"/>
      <c r="H1" s="801"/>
      <c r="I1" s="801"/>
      <c r="J1" s="801"/>
      <c r="K1" s="801"/>
      <c r="L1" s="801"/>
      <c r="M1" s="801"/>
      <c r="N1" s="801"/>
      <c r="O1" s="801"/>
      <c r="P1" s="801"/>
      <c r="Q1" s="801"/>
      <c r="R1" s="801"/>
      <c r="S1" s="801"/>
      <c r="T1" s="801"/>
    </row>
    <row r="3" spans="1:20" s="557" customFormat="1" ht="141" customHeight="1" x14ac:dyDescent="0.25">
      <c r="A3" s="5" t="s">
        <v>166</v>
      </c>
      <c r="B3" s="5" t="s">
        <v>292</v>
      </c>
      <c r="C3" s="5" t="s">
        <v>530</v>
      </c>
      <c r="D3" s="5" t="s">
        <v>297</v>
      </c>
      <c r="E3" s="5" t="s">
        <v>299</v>
      </c>
      <c r="F3" s="5" t="s">
        <v>293</v>
      </c>
      <c r="G3" s="5" t="s">
        <v>298</v>
      </c>
      <c r="H3" s="5" t="s">
        <v>300</v>
      </c>
      <c r="I3" s="835" t="s">
        <v>301</v>
      </c>
      <c r="J3" s="835"/>
      <c r="K3" s="835"/>
      <c r="L3" s="5" t="s">
        <v>318</v>
      </c>
      <c r="M3" s="5" t="s">
        <v>322</v>
      </c>
      <c r="N3" s="836" t="s">
        <v>320</v>
      </c>
      <c r="O3" s="836"/>
      <c r="P3" s="836"/>
      <c r="Q3" s="836"/>
      <c r="R3" s="836"/>
      <c r="S3" s="836"/>
      <c r="T3" s="836"/>
    </row>
    <row r="4" spans="1:20" s="704" customFormat="1" ht="23.25" customHeight="1" thickBot="1" x14ac:dyDescent="0.25">
      <c r="I4" s="705" t="s">
        <v>165</v>
      </c>
      <c r="J4" s="705" t="s">
        <v>153</v>
      </c>
      <c r="K4" s="705" t="s">
        <v>129</v>
      </c>
      <c r="L4" s="706"/>
    </row>
    <row r="5" spans="1:20" s="587" customFormat="1" ht="19.5" customHeight="1" thickBot="1" x14ac:dyDescent="0.3">
      <c r="A5" s="823" t="s">
        <v>309</v>
      </c>
      <c r="B5" s="823" t="s">
        <v>308</v>
      </c>
      <c r="C5" s="687" t="s">
        <v>260</v>
      </c>
      <c r="D5" s="695">
        <v>4</v>
      </c>
      <c r="E5" s="666">
        <v>2</v>
      </c>
      <c r="F5" s="666">
        <v>2</v>
      </c>
      <c r="G5" s="667">
        <f>+'4-ENDEUDAMIENTO RED LARGA'!$Q$53*'3-ZONIFICACION DE CARGA'!D5</f>
        <v>54.331441413996465</v>
      </c>
      <c r="H5" s="667">
        <f>+'4-ENDEUDAMIENTO RED MEDIA'!$Q$53*'3-ZONIFICACION DE CARGA'!E5</f>
        <v>205.03947915942953</v>
      </c>
      <c r="I5" s="668">
        <f>+'1-CLIENTE-RED-ENDEUDAMIEN'!$K$180*'4-ENDEUDAMIENTO RED CORTA'!$R$53</f>
        <v>1.8962278489829312</v>
      </c>
      <c r="J5" s="668">
        <f>+'1-CLIENTE-RED-ENDEUDAMIEN'!$K$132*'4-ENDEUDAMIENTO RED CORTA'!$R$161</f>
        <v>2.099467373764289</v>
      </c>
      <c r="K5" s="669">
        <v>0</v>
      </c>
      <c r="L5" s="702"/>
      <c r="M5" s="713"/>
      <c r="N5" s="714" t="s">
        <v>323</v>
      </c>
      <c r="O5" s="715" t="s">
        <v>324</v>
      </c>
      <c r="P5" s="715" t="s">
        <v>324</v>
      </c>
      <c r="Q5" s="715" t="s">
        <v>325</v>
      </c>
      <c r="R5" s="715" t="s">
        <v>326</v>
      </c>
      <c r="S5" s="715" t="s">
        <v>327</v>
      </c>
      <c r="T5" s="716" t="s">
        <v>328</v>
      </c>
    </row>
    <row r="6" spans="1:20" s="587" customFormat="1" x14ac:dyDescent="0.25">
      <c r="A6" s="824"/>
      <c r="B6" s="824"/>
      <c r="C6" s="688" t="s">
        <v>258</v>
      </c>
      <c r="D6" s="696">
        <v>4</v>
      </c>
      <c r="E6" s="583">
        <v>2</v>
      </c>
      <c r="F6" s="583">
        <v>2</v>
      </c>
      <c r="G6" s="670">
        <f>+'4-ENDEUDAMIENTO RED LARGA'!$Q$53*'3-ZONIFICACION DE CARGA'!D6</f>
        <v>54.331441413996465</v>
      </c>
      <c r="H6" s="670">
        <f>+'4-ENDEUDAMIENTO RED MEDIA'!$Q$53*'3-ZONIFICACION DE CARGA'!E6</f>
        <v>205.03947915942953</v>
      </c>
      <c r="I6" s="641">
        <f>+'1-CLIENTE-RED-ENDEUDAMIEN'!$K$180*'4-ENDEUDAMIENTO RED CORTA'!$R$53</f>
        <v>1.8962278489829312</v>
      </c>
      <c r="J6" s="641">
        <f>+'1-CLIENTE-RED-ENDEUDAMIEN'!$K$132*'4-ENDEUDAMIENTO RED CORTA'!$R$161</f>
        <v>2.099467373764289</v>
      </c>
      <c r="K6" s="671">
        <v>0</v>
      </c>
      <c r="L6" s="840">
        <f>SUM(G9:K9)</f>
        <v>908.301914695498</v>
      </c>
      <c r="M6" s="748">
        <f>+L6/45</f>
        <v>20.184486993233289</v>
      </c>
      <c r="N6" s="717" t="s">
        <v>186</v>
      </c>
      <c r="O6" s="718" t="s">
        <v>21</v>
      </c>
      <c r="P6" s="718"/>
      <c r="Q6" s="718"/>
      <c r="R6" s="718"/>
      <c r="S6" s="718"/>
      <c r="T6" s="719"/>
    </row>
    <row r="7" spans="1:20" s="587" customFormat="1" x14ac:dyDescent="0.25">
      <c r="A7" s="824"/>
      <c r="B7" s="824"/>
      <c r="C7" s="688" t="s">
        <v>261</v>
      </c>
      <c r="D7" s="696">
        <v>1</v>
      </c>
      <c r="E7" s="583">
        <v>1</v>
      </c>
      <c r="F7" s="583">
        <v>1</v>
      </c>
      <c r="G7" s="670">
        <f>+'4-ENDEUDAMIENTO RED LARGA'!$Q$53*'3-ZONIFICACION DE CARGA'!D7</f>
        <v>13.582860353499116</v>
      </c>
      <c r="H7" s="670">
        <f>+'4-ENDEUDAMIENTO RED MEDIA'!$Q$53*'3-ZONIFICACION DE CARGA'!E7</f>
        <v>102.51973957971477</v>
      </c>
      <c r="I7" s="641">
        <v>0</v>
      </c>
      <c r="J7" s="641">
        <f>+'1-CLIENTE-RED-ENDEUDAMIEN'!$K$132*'4-ENDEUDAMIENTO RED CORTA'!$R$161</f>
        <v>2.099467373764289</v>
      </c>
      <c r="K7" s="671">
        <v>0</v>
      </c>
      <c r="L7" s="841"/>
      <c r="M7" s="749"/>
      <c r="N7" s="717" t="s">
        <v>186</v>
      </c>
      <c r="O7" s="718" t="s">
        <v>21</v>
      </c>
      <c r="P7" s="718" t="s">
        <v>21</v>
      </c>
      <c r="Q7" s="718" t="s">
        <v>21</v>
      </c>
      <c r="R7" s="718"/>
      <c r="S7" s="718" t="s">
        <v>21</v>
      </c>
      <c r="T7" s="719"/>
    </row>
    <row r="8" spans="1:20" s="587" customFormat="1" ht="15.75" thickBot="1" x14ac:dyDescent="0.3">
      <c r="A8" s="825"/>
      <c r="B8" s="825"/>
      <c r="C8" s="689" t="s">
        <v>257</v>
      </c>
      <c r="D8" s="697">
        <v>4</v>
      </c>
      <c r="E8" s="698">
        <v>2</v>
      </c>
      <c r="F8" s="698">
        <v>2</v>
      </c>
      <c r="G8" s="699">
        <f>+'4-ENDEUDAMIENTO RED LARGA'!$Q$53*'3-ZONIFICACION DE CARGA'!D8</f>
        <v>54.331441413996465</v>
      </c>
      <c r="H8" s="699">
        <f>+'4-ENDEUDAMIENTO RED MEDIA'!$Q$53*'3-ZONIFICACION DE CARGA'!E8</f>
        <v>205.03947915942953</v>
      </c>
      <c r="I8" s="700">
        <f>+'1-CLIENTE-RED-ENDEUDAMIEN'!$K$180*'4-ENDEUDAMIENTO RED CORTA'!$R$53</f>
        <v>1.8962278489829312</v>
      </c>
      <c r="J8" s="700">
        <f>+'1-CLIENTE-RED-ENDEUDAMIEN'!$K$132*'4-ENDEUDAMIENTO RED CORTA'!$R$161</f>
        <v>2.099467373764289</v>
      </c>
      <c r="K8" s="701">
        <v>0</v>
      </c>
      <c r="L8" s="841"/>
      <c r="M8" s="749"/>
      <c r="N8" s="717" t="s">
        <v>186</v>
      </c>
      <c r="O8" s="718"/>
      <c r="P8" s="718" t="s">
        <v>21</v>
      </c>
      <c r="Q8" s="718" t="s">
        <v>21</v>
      </c>
      <c r="R8" s="718"/>
      <c r="S8" s="718"/>
      <c r="T8" s="719"/>
    </row>
    <row r="9" spans="1:20" s="587" customFormat="1" ht="15.75" thickBot="1" x14ac:dyDescent="0.3">
      <c r="A9" s="821" t="s">
        <v>302</v>
      </c>
      <c r="B9" s="822"/>
      <c r="C9" s="690">
        <v>4</v>
      </c>
      <c r="D9" s="681">
        <f>SUM(D5:D8)</f>
        <v>13</v>
      </c>
      <c r="E9" s="682">
        <f>SUM(E5:E8)</f>
        <v>7</v>
      </c>
      <c r="F9" s="682">
        <f>SUM(F5:F8)</f>
        <v>7</v>
      </c>
      <c r="G9" s="683">
        <f>SUM(G5:G8)</f>
        <v>176.57718459548852</v>
      </c>
      <c r="H9" s="683">
        <f t="shared" ref="H9:K9" si="0">SUM(H5:H8)</f>
        <v>717.63817705800341</v>
      </c>
      <c r="I9" s="683">
        <f t="shared" si="0"/>
        <v>5.6886835469487931</v>
      </c>
      <c r="J9" s="683">
        <f t="shared" si="0"/>
        <v>8.3978694950571562</v>
      </c>
      <c r="K9" s="692">
        <f t="shared" si="0"/>
        <v>0</v>
      </c>
      <c r="L9" s="839"/>
      <c r="M9" s="750"/>
      <c r="N9" s="717" t="s">
        <v>186</v>
      </c>
      <c r="O9" s="718"/>
      <c r="P9" s="718" t="s">
        <v>21</v>
      </c>
      <c r="Q9" s="718" t="s">
        <v>21</v>
      </c>
      <c r="R9" s="718" t="s">
        <v>21</v>
      </c>
      <c r="S9" s="718" t="s">
        <v>21</v>
      </c>
      <c r="T9" s="719"/>
    </row>
    <row r="10" spans="1:20" s="587" customFormat="1" x14ac:dyDescent="0.25">
      <c r="A10" s="826" t="s">
        <v>310</v>
      </c>
      <c r="B10" s="829" t="s">
        <v>314</v>
      </c>
      <c r="C10" s="687" t="s">
        <v>248</v>
      </c>
      <c r="D10" s="679">
        <v>6</v>
      </c>
      <c r="E10" s="672">
        <v>2</v>
      </c>
      <c r="F10" s="672">
        <v>3</v>
      </c>
      <c r="G10" s="673">
        <f>+'4-ENDEUDAMIENTO RED LARGA'!$Q$53*'3-ZONIFICACION DE CARGA'!D10</f>
        <v>81.497162120994702</v>
      </c>
      <c r="H10" s="673">
        <f>+'4-ENDEUDAMIENTO RED MEDIA'!$Q$53*'3-ZONIFICACION DE CARGA'!E10</f>
        <v>205.03947915942953</v>
      </c>
      <c r="I10" s="674">
        <f>+'1-CLIENTE-RED-ENDEUDAMIEN'!$K$180*'4-ENDEUDAMIENTO RED CORTA'!$R$53</f>
        <v>1.8962278489829312</v>
      </c>
      <c r="J10" s="674">
        <f>+'1-CLIENTE-RED-ENDEUDAMIEN'!$K$132*'4-ENDEUDAMIENTO RED CORTA'!$R$161</f>
        <v>2.099467373764289</v>
      </c>
      <c r="K10" s="693">
        <f>+'1-CLIENTE-RED-ENDEUDAMIEN'!$K$136*'4-ENDEUDAMIENTO RED CORTA'!$V$215</f>
        <v>73.907506026170822</v>
      </c>
      <c r="L10" s="837">
        <f>SUM(G13:K13)</f>
        <v>1241.1345396403685</v>
      </c>
      <c r="M10" s="748">
        <f>+L10/45</f>
        <v>27.580767547563745</v>
      </c>
      <c r="N10" s="717" t="s">
        <v>21</v>
      </c>
      <c r="O10" s="718" t="s">
        <v>186</v>
      </c>
      <c r="P10" s="718" t="s">
        <v>21</v>
      </c>
      <c r="Q10" s="718"/>
      <c r="R10" s="718" t="s">
        <v>21</v>
      </c>
      <c r="S10" s="718" t="s">
        <v>21</v>
      </c>
      <c r="T10" s="719"/>
    </row>
    <row r="11" spans="1:20" s="587" customFormat="1" x14ac:dyDescent="0.25">
      <c r="A11" s="827"/>
      <c r="B11" s="830"/>
      <c r="C11" s="688" t="s">
        <v>247</v>
      </c>
      <c r="D11" s="675">
        <v>5</v>
      </c>
      <c r="E11" s="583">
        <v>2</v>
      </c>
      <c r="F11" s="583">
        <v>4</v>
      </c>
      <c r="G11" s="670">
        <f>+'4-ENDEUDAMIENTO RED LARGA'!$Q$53*'3-ZONIFICACION DE CARGA'!D11</f>
        <v>67.914301767495587</v>
      </c>
      <c r="H11" s="670">
        <f>+'4-ENDEUDAMIENTO RED MEDIA'!$Q$53*'3-ZONIFICACION DE CARGA'!E11</f>
        <v>205.03947915942953</v>
      </c>
      <c r="I11" s="641">
        <f>+'1-CLIENTE-RED-ENDEUDAMIEN'!$K$180*'4-ENDEUDAMIENTO RED CORTA'!$R$53</f>
        <v>1.8962278489829312</v>
      </c>
      <c r="J11" s="641">
        <f>+'1-CLIENTE-RED-ENDEUDAMIEN'!$K$132*'4-ENDEUDAMIENTO RED CORTA'!$R$161</f>
        <v>2.099467373764289</v>
      </c>
      <c r="K11" s="691">
        <f>+'1-CLIENTE-RED-ENDEUDAMIEN'!K156*'4-ENDEUDAMIENTO RED CORTA'!V215</f>
        <v>147.81501205234164</v>
      </c>
      <c r="L11" s="838"/>
      <c r="M11" s="749"/>
      <c r="N11" s="717" t="s">
        <v>21</v>
      </c>
      <c r="O11" s="718" t="s">
        <v>186</v>
      </c>
      <c r="P11" s="718"/>
      <c r="Q11" s="718"/>
      <c r="R11" s="718" t="s">
        <v>21</v>
      </c>
      <c r="S11" s="718" t="s">
        <v>21</v>
      </c>
      <c r="T11" s="719"/>
    </row>
    <row r="12" spans="1:20" s="587" customFormat="1" ht="15.75" thickBot="1" x14ac:dyDescent="0.3">
      <c r="A12" s="828"/>
      <c r="B12" s="831"/>
      <c r="C12" s="689" t="s">
        <v>246</v>
      </c>
      <c r="D12" s="675">
        <v>7</v>
      </c>
      <c r="E12" s="583">
        <v>2</v>
      </c>
      <c r="F12" s="583">
        <v>4</v>
      </c>
      <c r="G12" s="670">
        <f>+'4-ENDEUDAMIENTO RED LARGA'!$Q$53*'3-ZONIFICACION DE CARGA'!D12</f>
        <v>95.080022474493816</v>
      </c>
      <c r="H12" s="670">
        <f>+'4-ENDEUDAMIENTO RED MEDIA'!$Q$53*'3-ZONIFICACION DE CARGA'!E12</f>
        <v>205.03947915942953</v>
      </c>
      <c r="I12" s="641">
        <f>+'1-CLIENTE-RED-ENDEUDAMIEN'!$K$180*'4-ENDEUDAMIENTO RED CORTA'!$R$53</f>
        <v>1.8962278489829312</v>
      </c>
      <c r="J12" s="641">
        <f>+'1-CLIENTE-RED-ENDEUDAMIEN'!$K$132*'4-ENDEUDAMIENTO RED CORTA'!$R$161</f>
        <v>2.099467373764289</v>
      </c>
      <c r="K12" s="691">
        <f>+'1-CLIENTE-RED-ENDEUDAMIEN'!K152*'4-ENDEUDAMIENTO RED CORTA'!$V$215</f>
        <v>147.81501205234164</v>
      </c>
      <c r="L12" s="838"/>
      <c r="M12" s="749"/>
      <c r="N12" s="717" t="s">
        <v>21</v>
      </c>
      <c r="O12" s="718" t="s">
        <v>186</v>
      </c>
      <c r="P12" s="718"/>
      <c r="Q12" s="718"/>
      <c r="R12" s="718" t="s">
        <v>21</v>
      </c>
      <c r="S12" s="718" t="s">
        <v>21</v>
      </c>
      <c r="T12" s="719" t="s">
        <v>21</v>
      </c>
    </row>
    <row r="13" spans="1:20" s="587" customFormat="1" ht="15.75" thickBot="1" x14ac:dyDescent="0.3">
      <c r="A13" s="821" t="s">
        <v>303</v>
      </c>
      <c r="B13" s="822"/>
      <c r="C13" s="686">
        <v>3</v>
      </c>
      <c r="D13" s="681">
        <f>SUM(D10:D12)</f>
        <v>18</v>
      </c>
      <c r="E13" s="684">
        <f t="shared" ref="E13:K13" si="1">SUM(E10:E12)</f>
        <v>6</v>
      </c>
      <c r="F13" s="684">
        <f t="shared" si="1"/>
        <v>11</v>
      </c>
      <c r="G13" s="684">
        <f t="shared" si="1"/>
        <v>244.49148636298412</v>
      </c>
      <c r="H13" s="684">
        <f t="shared" si="1"/>
        <v>615.11843747828857</v>
      </c>
      <c r="I13" s="684">
        <f t="shared" si="1"/>
        <v>5.6886835469487931</v>
      </c>
      <c r="J13" s="684">
        <f t="shared" si="1"/>
        <v>6.2984021212928667</v>
      </c>
      <c r="K13" s="694">
        <f t="shared" si="1"/>
        <v>369.53753013085407</v>
      </c>
      <c r="L13" s="839"/>
      <c r="M13" s="750"/>
      <c r="N13" s="720" t="s">
        <v>21</v>
      </c>
      <c r="O13" s="721" t="s">
        <v>186</v>
      </c>
      <c r="P13" s="721"/>
      <c r="Q13" s="721"/>
      <c r="R13" s="721" t="s">
        <v>21</v>
      </c>
      <c r="S13" s="721" t="s">
        <v>21</v>
      </c>
      <c r="T13" s="722" t="s">
        <v>21</v>
      </c>
    </row>
    <row r="14" spans="1:20" s="587" customFormat="1" ht="15.75" thickBot="1" x14ac:dyDescent="0.3">
      <c r="A14" s="826" t="s">
        <v>294</v>
      </c>
      <c r="B14" s="826" t="s">
        <v>313</v>
      </c>
      <c r="C14" s="676" t="s">
        <v>253</v>
      </c>
      <c r="D14" s="675">
        <v>6</v>
      </c>
      <c r="E14" s="583">
        <v>1</v>
      </c>
      <c r="F14" s="583">
        <v>2</v>
      </c>
      <c r="G14" s="670">
        <f>+'4-ENDEUDAMIENTO RED LARGA'!$Q$53*'3-ZONIFICACION DE CARGA'!D14</f>
        <v>81.497162120994702</v>
      </c>
      <c r="H14" s="670">
        <f>+'4-ENDEUDAMIENTO RED MEDIA'!$Q$53*'3-ZONIFICACION DE CARGA'!E14</f>
        <v>102.51973957971477</v>
      </c>
      <c r="I14" s="641">
        <v>0</v>
      </c>
      <c r="J14" s="641">
        <f>+'1-CLIENTE-RED-ENDEUDAMIEN'!$K$132*'4-ENDEUDAMIENTO RED CORTA'!$R$161</f>
        <v>2.099467373764289</v>
      </c>
      <c r="K14" s="691">
        <f>+'1-CLIENTE-RED-ENDEUDAMIEN'!$K$136*'4-ENDEUDAMIENTO RED CORTA'!$V$215</f>
        <v>73.907506026170822</v>
      </c>
      <c r="L14" s="837">
        <f>SUM(G18:K18)</f>
        <v>957.19114804020126</v>
      </c>
      <c r="M14" s="748">
        <f>+L14/45</f>
        <v>21.270914400893361</v>
      </c>
      <c r="N14" s="720" t="s">
        <v>21</v>
      </c>
      <c r="O14" s="721" t="s">
        <v>21</v>
      </c>
      <c r="P14" s="721" t="s">
        <v>186</v>
      </c>
      <c r="Q14" s="721"/>
      <c r="R14" s="721" t="s">
        <v>21</v>
      </c>
      <c r="S14" s="721" t="s">
        <v>21</v>
      </c>
      <c r="T14" s="722" t="s">
        <v>21</v>
      </c>
    </row>
    <row r="15" spans="1:20" s="587" customFormat="1" ht="15.75" thickBot="1" x14ac:dyDescent="0.3">
      <c r="A15" s="827"/>
      <c r="B15" s="827"/>
      <c r="C15" s="677" t="s">
        <v>255</v>
      </c>
      <c r="D15" s="675">
        <v>4</v>
      </c>
      <c r="E15" s="583">
        <v>2</v>
      </c>
      <c r="F15" s="583">
        <v>1</v>
      </c>
      <c r="G15" s="670">
        <f>+'4-ENDEUDAMIENTO RED LARGA'!$Q$53*'3-ZONIFICACION DE CARGA'!D15</f>
        <v>54.331441413996465</v>
      </c>
      <c r="H15" s="670">
        <f>+'4-ENDEUDAMIENTO RED MEDIA'!$Q$53*'3-ZONIFICACION DE CARGA'!E15</f>
        <v>205.03947915942953</v>
      </c>
      <c r="I15" s="641">
        <f>+'1-CLIENTE-RED-ENDEUDAMIEN'!$K$180*'4-ENDEUDAMIENTO RED CORTA'!$R$53</f>
        <v>1.8962278489829312</v>
      </c>
      <c r="J15" s="641">
        <v>0</v>
      </c>
      <c r="K15" s="691">
        <v>0</v>
      </c>
      <c r="L15" s="838"/>
      <c r="M15" s="749"/>
      <c r="N15" s="720" t="s">
        <v>21</v>
      </c>
      <c r="O15" s="721" t="s">
        <v>21</v>
      </c>
      <c r="P15" s="721" t="s">
        <v>186</v>
      </c>
      <c r="Q15" s="721"/>
      <c r="R15" s="721" t="s">
        <v>21</v>
      </c>
      <c r="S15" s="721" t="s">
        <v>21</v>
      </c>
      <c r="T15" s="722" t="s">
        <v>21</v>
      </c>
    </row>
    <row r="16" spans="1:20" s="587" customFormat="1" ht="15.75" thickBot="1" x14ac:dyDescent="0.3">
      <c r="A16" s="827"/>
      <c r="B16" s="827"/>
      <c r="C16" s="677" t="s">
        <v>254</v>
      </c>
      <c r="D16" s="675">
        <v>4</v>
      </c>
      <c r="E16" s="583">
        <v>1</v>
      </c>
      <c r="F16" s="583">
        <v>1</v>
      </c>
      <c r="G16" s="670">
        <f>+'4-ENDEUDAMIENTO RED LARGA'!$Q$53*'3-ZONIFICACION DE CARGA'!D16</f>
        <v>54.331441413996465</v>
      </c>
      <c r="H16" s="670">
        <f>+'4-ENDEUDAMIENTO RED MEDIA'!$Q$53*'3-ZONIFICACION DE CARGA'!E16</f>
        <v>102.51973957971477</v>
      </c>
      <c r="I16" s="641">
        <v>0</v>
      </c>
      <c r="J16" s="641">
        <f>+'1-CLIENTE-RED-ENDEUDAMIEN'!$K$132*'4-ENDEUDAMIENTO RED CORTA'!$R$161</f>
        <v>2.099467373764289</v>
      </c>
      <c r="K16" s="691">
        <v>0</v>
      </c>
      <c r="L16" s="838"/>
      <c r="M16" s="749"/>
      <c r="N16" s="720" t="s">
        <v>21</v>
      </c>
      <c r="O16" s="721" t="s">
        <v>21</v>
      </c>
      <c r="P16" s="721" t="s">
        <v>186</v>
      </c>
      <c r="Q16" s="721"/>
      <c r="R16" s="721" t="s">
        <v>21</v>
      </c>
      <c r="S16" s="721" t="s">
        <v>21</v>
      </c>
      <c r="T16" s="722" t="s">
        <v>21</v>
      </c>
    </row>
    <row r="17" spans="1:20" s="587" customFormat="1" ht="15.75" thickBot="1" x14ac:dyDescent="0.3">
      <c r="A17" s="828"/>
      <c r="B17" s="828"/>
      <c r="C17" s="678" t="s">
        <v>249</v>
      </c>
      <c r="D17" s="675">
        <v>5</v>
      </c>
      <c r="E17" s="583">
        <v>2</v>
      </c>
      <c r="F17" s="583">
        <v>2</v>
      </c>
      <c r="G17" s="670">
        <f>+'4-ENDEUDAMIENTO RED LARGA'!$Q$53*'3-ZONIFICACION DE CARGA'!D17</f>
        <v>67.914301767495587</v>
      </c>
      <c r="H17" s="670">
        <f>+'4-ENDEUDAMIENTO RED MEDIA'!$Q$53*'3-ZONIFICACION DE CARGA'!E17</f>
        <v>205.03947915942953</v>
      </c>
      <c r="I17" s="641">
        <f>+'1-CLIENTE-RED-ENDEUDAMIEN'!$K$180*'4-ENDEUDAMIENTO RED CORTA'!$R$53</f>
        <v>1.8962278489829312</v>
      </c>
      <c r="J17" s="641">
        <f>+'1-CLIENTE-RED-ENDEUDAMIEN'!$K$132*'4-ENDEUDAMIENTO RED CORTA'!$R$161</f>
        <v>2.099467373764289</v>
      </c>
      <c r="K17" s="691">
        <v>0</v>
      </c>
      <c r="L17" s="838"/>
      <c r="M17" s="749"/>
      <c r="N17" s="720" t="s">
        <v>21</v>
      </c>
      <c r="O17" s="721" t="s">
        <v>321</v>
      </c>
      <c r="P17" s="721" t="s">
        <v>186</v>
      </c>
      <c r="Q17" s="721"/>
      <c r="R17" s="721" t="s">
        <v>21</v>
      </c>
      <c r="S17" s="721" t="s">
        <v>21</v>
      </c>
      <c r="T17" s="722" t="s">
        <v>21</v>
      </c>
    </row>
    <row r="18" spans="1:20" s="587" customFormat="1" ht="15.75" thickBot="1" x14ac:dyDescent="0.3">
      <c r="A18" s="821" t="s">
        <v>304</v>
      </c>
      <c r="B18" s="822"/>
      <c r="C18" s="680">
        <v>4</v>
      </c>
      <c r="D18" s="684">
        <f>SUM(D14:D17)</f>
        <v>19</v>
      </c>
      <c r="E18" s="684">
        <f t="shared" ref="E18:K18" si="2">SUM(E14:E17)</f>
        <v>6</v>
      </c>
      <c r="F18" s="684">
        <f t="shared" si="2"/>
        <v>6</v>
      </c>
      <c r="G18" s="684">
        <f t="shared" si="2"/>
        <v>258.07434671648321</v>
      </c>
      <c r="H18" s="684">
        <f t="shared" si="2"/>
        <v>615.11843747828857</v>
      </c>
      <c r="I18" s="684">
        <f t="shared" si="2"/>
        <v>3.7924556979658623</v>
      </c>
      <c r="J18" s="684">
        <f t="shared" si="2"/>
        <v>6.2984021212928667</v>
      </c>
      <c r="K18" s="694">
        <f t="shared" si="2"/>
        <v>73.907506026170822</v>
      </c>
      <c r="L18" s="839"/>
      <c r="M18" s="750"/>
      <c r="N18" s="720" t="s">
        <v>21</v>
      </c>
      <c r="O18" s="721" t="s">
        <v>21</v>
      </c>
      <c r="P18" s="721" t="s">
        <v>186</v>
      </c>
      <c r="Q18" s="721"/>
      <c r="R18" s="721" t="s">
        <v>21</v>
      </c>
      <c r="S18" s="721" t="s">
        <v>21</v>
      </c>
      <c r="T18" s="722" t="s">
        <v>21</v>
      </c>
    </row>
    <row r="19" spans="1:20" s="587" customFormat="1" ht="15.75" thickBot="1" x14ac:dyDescent="0.3">
      <c r="A19" s="826" t="s">
        <v>312</v>
      </c>
      <c r="B19" s="826" t="s">
        <v>311</v>
      </c>
      <c r="C19" s="676" t="s">
        <v>296</v>
      </c>
      <c r="D19" s="675">
        <v>4</v>
      </c>
      <c r="E19" s="583">
        <v>2</v>
      </c>
      <c r="F19" s="583">
        <v>3</v>
      </c>
      <c r="G19" s="670">
        <f>+'4-ENDEUDAMIENTO RED LARGA'!$Q$53*'3-ZONIFICACION DE CARGA'!D19</f>
        <v>54.331441413996465</v>
      </c>
      <c r="H19" s="670">
        <f>+'4-ENDEUDAMIENTO RED MEDIA'!$Q$53*'3-ZONIFICACION DE CARGA'!E19</f>
        <v>205.03947915942953</v>
      </c>
      <c r="I19" s="641">
        <f>+'1-CLIENTE-RED-ENDEUDAMIEN'!$K$180*'4-ENDEUDAMIENTO RED CORTA'!$R$53</f>
        <v>1.8962278489829312</v>
      </c>
      <c r="J19" s="641">
        <f>+'1-CLIENTE-RED-ENDEUDAMIEN'!$K$132*'4-ENDEUDAMIENTO RED CORTA'!$R$161</f>
        <v>2.099467373764289</v>
      </c>
      <c r="K19" s="691">
        <v>0</v>
      </c>
      <c r="L19" s="837">
        <f>SUM(G22:K22)</f>
        <v>877.59021376818953</v>
      </c>
      <c r="M19" s="748">
        <f>+L19/45</f>
        <v>19.502004750404211</v>
      </c>
      <c r="N19" s="720" t="s">
        <v>21</v>
      </c>
      <c r="O19" s="721" t="s">
        <v>21</v>
      </c>
      <c r="P19" s="721"/>
      <c r="Q19" s="721" t="s">
        <v>186</v>
      </c>
      <c r="R19" s="721" t="s">
        <v>21</v>
      </c>
      <c r="S19" s="721" t="s">
        <v>21</v>
      </c>
      <c r="T19" s="722" t="s">
        <v>21</v>
      </c>
    </row>
    <row r="20" spans="1:20" s="587" customFormat="1" ht="15.75" thickBot="1" x14ac:dyDescent="0.3">
      <c r="A20" s="827"/>
      <c r="B20" s="827"/>
      <c r="C20" s="677" t="s">
        <v>263</v>
      </c>
      <c r="D20" s="675">
        <v>3</v>
      </c>
      <c r="E20" s="583">
        <v>2</v>
      </c>
      <c r="F20" s="583">
        <v>2</v>
      </c>
      <c r="G20" s="670">
        <f>+'4-ENDEUDAMIENTO RED LARGA'!$Q$53*'3-ZONIFICACION DE CARGA'!D20</f>
        <v>40.748581060497351</v>
      </c>
      <c r="H20" s="670">
        <f>+'4-ENDEUDAMIENTO RED MEDIA'!$Q$53*'3-ZONIFICACION DE CARGA'!E20</f>
        <v>205.03947915942953</v>
      </c>
      <c r="I20" s="641">
        <f>+'1-CLIENTE-RED-ENDEUDAMIEN'!$K$180*'4-ENDEUDAMIENTO RED CORTA'!$R$53</f>
        <v>1.8962278489829312</v>
      </c>
      <c r="J20" s="641">
        <f>+'1-CLIENTE-RED-ENDEUDAMIEN'!$K$132*'4-ENDEUDAMIENTO RED CORTA'!$R$161</f>
        <v>2.099467373764289</v>
      </c>
      <c r="K20" s="691">
        <v>0</v>
      </c>
      <c r="L20" s="838"/>
      <c r="M20" s="749"/>
      <c r="N20" s="720" t="s">
        <v>21</v>
      </c>
      <c r="O20" s="721" t="s">
        <v>21</v>
      </c>
      <c r="P20" s="721"/>
      <c r="Q20" s="721" t="s">
        <v>186</v>
      </c>
      <c r="R20" s="721" t="s">
        <v>21</v>
      </c>
      <c r="S20" s="721" t="s">
        <v>21</v>
      </c>
      <c r="T20" s="722" t="s">
        <v>21</v>
      </c>
    </row>
    <row r="21" spans="1:20" s="587" customFormat="1" ht="15.75" thickBot="1" x14ac:dyDescent="0.3">
      <c r="A21" s="828"/>
      <c r="B21" s="828"/>
      <c r="C21" s="678" t="s">
        <v>259</v>
      </c>
      <c r="D21" s="675">
        <v>6</v>
      </c>
      <c r="E21" s="583">
        <v>2</v>
      </c>
      <c r="F21" s="583">
        <v>3</v>
      </c>
      <c r="G21" s="670">
        <f>+'4-ENDEUDAMIENTO RED LARGA'!$Q$53*'3-ZONIFICACION DE CARGA'!D21</f>
        <v>81.497162120994702</v>
      </c>
      <c r="H21" s="670">
        <f>+'4-ENDEUDAMIENTO RED MEDIA'!$Q$53*'3-ZONIFICACION DE CARGA'!E21</f>
        <v>205.03947915942953</v>
      </c>
      <c r="I21" s="641">
        <f>+'1-CLIENTE-RED-ENDEUDAMIEN'!$K$180*'4-ENDEUDAMIENTO RED CORTA'!$R$53</f>
        <v>1.8962278489829312</v>
      </c>
      <c r="J21" s="641">
        <f>+'1-CLIENTE-RED-ENDEUDAMIEN'!$K$132*'4-ENDEUDAMIENTO RED CORTA'!$R$161</f>
        <v>2.099467373764289</v>
      </c>
      <c r="K21" s="691">
        <f>+'1-CLIENTE-RED-ENDEUDAMIEN'!$K$136*'4-ENDEUDAMIENTO RED CORTA'!$V$215</f>
        <v>73.907506026170822</v>
      </c>
      <c r="L21" s="838"/>
      <c r="M21" s="749"/>
      <c r="N21" s="720" t="s">
        <v>21</v>
      </c>
      <c r="O21" s="721" t="s">
        <v>21</v>
      </c>
      <c r="P21" s="721"/>
      <c r="Q21" s="721" t="s">
        <v>186</v>
      </c>
      <c r="R21" s="721" t="s">
        <v>21</v>
      </c>
      <c r="S21" s="721" t="s">
        <v>21</v>
      </c>
      <c r="T21" s="722" t="s">
        <v>21</v>
      </c>
    </row>
    <row r="22" spans="1:20" s="587" customFormat="1" ht="15.75" thickBot="1" x14ac:dyDescent="0.3">
      <c r="A22" s="821" t="s">
        <v>305</v>
      </c>
      <c r="B22" s="822"/>
      <c r="C22" s="680">
        <v>3</v>
      </c>
      <c r="D22" s="684">
        <f>SUM(D19:D21)</f>
        <v>13</v>
      </c>
      <c r="E22" s="684">
        <f t="shared" ref="E22:K22" si="3">SUM(E19:E21)</f>
        <v>6</v>
      </c>
      <c r="F22" s="684">
        <f t="shared" si="3"/>
        <v>8</v>
      </c>
      <c r="G22" s="684">
        <f t="shared" si="3"/>
        <v>176.57718459548852</v>
      </c>
      <c r="H22" s="684">
        <f t="shared" si="3"/>
        <v>615.11843747828857</v>
      </c>
      <c r="I22" s="684">
        <f t="shared" si="3"/>
        <v>5.6886835469487931</v>
      </c>
      <c r="J22" s="684">
        <f t="shared" si="3"/>
        <v>6.2984021212928667</v>
      </c>
      <c r="K22" s="694">
        <f t="shared" si="3"/>
        <v>73.907506026170822</v>
      </c>
      <c r="L22" s="839"/>
      <c r="M22" s="750"/>
      <c r="N22" s="720" t="s">
        <v>21</v>
      </c>
      <c r="O22" s="721" t="s">
        <v>21</v>
      </c>
      <c r="P22" s="721"/>
      <c r="Q22" s="721" t="s">
        <v>186</v>
      </c>
      <c r="R22" s="721" t="s">
        <v>21</v>
      </c>
      <c r="S22" s="721" t="s">
        <v>21</v>
      </c>
      <c r="T22" s="722" t="s">
        <v>21</v>
      </c>
    </row>
    <row r="23" spans="1:20" s="587" customFormat="1" ht="27" customHeight="1" thickBot="1" x14ac:dyDescent="0.3">
      <c r="A23" s="826" t="s">
        <v>315</v>
      </c>
      <c r="B23" s="832" t="s">
        <v>316</v>
      </c>
      <c r="C23" s="676" t="s">
        <v>250</v>
      </c>
      <c r="D23" s="675">
        <v>3</v>
      </c>
      <c r="E23" s="583">
        <v>2</v>
      </c>
      <c r="F23" s="583">
        <v>2</v>
      </c>
      <c r="G23" s="670">
        <f>+'4-ENDEUDAMIENTO RED LARGA'!$Q$53*'3-ZONIFICACION DE CARGA'!D23</f>
        <v>40.748581060497351</v>
      </c>
      <c r="H23" s="670">
        <f>+'4-ENDEUDAMIENTO RED MEDIA'!$Q$53*'3-ZONIFICACION DE CARGA'!E23</f>
        <v>205.03947915942953</v>
      </c>
      <c r="I23" s="641">
        <f>+'1-CLIENTE-RED-ENDEUDAMIEN'!$K$180*'4-ENDEUDAMIENTO RED CORTA'!$R$53</f>
        <v>1.8962278489829312</v>
      </c>
      <c r="J23" s="641">
        <f>+'1-CLIENTE-RED-ENDEUDAMIEN'!$K$132*'4-ENDEUDAMIENTO RED CORTA'!$R$161</f>
        <v>2.099467373764289</v>
      </c>
      <c r="K23" s="691">
        <v>0</v>
      </c>
      <c r="L23" s="837">
        <f>SUM(G26:K26)</f>
        <v>850.42449306119136</v>
      </c>
      <c r="M23" s="748">
        <f>+L23/45</f>
        <v>18.898322068026474</v>
      </c>
      <c r="N23" s="720" t="s">
        <v>21</v>
      </c>
      <c r="O23" s="721" t="s">
        <v>21</v>
      </c>
      <c r="P23" s="721"/>
      <c r="Q23" s="721"/>
      <c r="R23" s="721" t="s">
        <v>186</v>
      </c>
      <c r="S23" s="721" t="s">
        <v>21</v>
      </c>
      <c r="T23" s="722" t="s">
        <v>21</v>
      </c>
    </row>
    <row r="24" spans="1:20" s="587" customFormat="1" ht="15.75" thickBot="1" x14ac:dyDescent="0.3">
      <c r="A24" s="827"/>
      <c r="B24" s="833"/>
      <c r="C24" s="677" t="s">
        <v>252</v>
      </c>
      <c r="D24" s="675">
        <v>4</v>
      </c>
      <c r="E24" s="583">
        <v>2</v>
      </c>
      <c r="F24" s="583">
        <v>3</v>
      </c>
      <c r="G24" s="670">
        <f>+'4-ENDEUDAMIENTO RED LARGA'!$Q$53*'3-ZONIFICACION DE CARGA'!D24</f>
        <v>54.331441413996465</v>
      </c>
      <c r="H24" s="670">
        <f>+'4-ENDEUDAMIENTO RED MEDIA'!$Q$53*'3-ZONIFICACION DE CARGA'!E24</f>
        <v>205.03947915942953</v>
      </c>
      <c r="I24" s="641">
        <f>+'1-CLIENTE-RED-ENDEUDAMIEN'!$K$180*'4-ENDEUDAMIENTO RED CORTA'!$R$53</f>
        <v>1.8962278489829312</v>
      </c>
      <c r="J24" s="641">
        <f>+'1-CLIENTE-RED-ENDEUDAMIEN'!$K$132*'4-ENDEUDAMIENTO RED CORTA'!$R$161</f>
        <v>2.099467373764289</v>
      </c>
      <c r="K24" s="691">
        <v>0</v>
      </c>
      <c r="L24" s="838"/>
      <c r="M24" s="749"/>
      <c r="N24" s="720" t="s">
        <v>21</v>
      </c>
      <c r="O24" s="721" t="s">
        <v>21</v>
      </c>
      <c r="P24" s="721"/>
      <c r="Q24" s="721"/>
      <c r="R24" s="721" t="s">
        <v>186</v>
      </c>
      <c r="S24" s="721" t="s">
        <v>21</v>
      </c>
      <c r="T24" s="722" t="s">
        <v>21</v>
      </c>
    </row>
    <row r="25" spans="1:20" s="587" customFormat="1" ht="15.75" thickBot="1" x14ac:dyDescent="0.3">
      <c r="A25" s="828"/>
      <c r="B25" s="834"/>
      <c r="C25" s="678" t="s">
        <v>243</v>
      </c>
      <c r="D25" s="675">
        <v>4</v>
      </c>
      <c r="E25" s="583">
        <v>2</v>
      </c>
      <c r="F25" s="583">
        <v>3</v>
      </c>
      <c r="G25" s="670">
        <f>+'4-ENDEUDAMIENTO RED LARGA'!$Q$53*'3-ZONIFICACION DE CARGA'!D25</f>
        <v>54.331441413996465</v>
      </c>
      <c r="H25" s="670">
        <f>+'4-ENDEUDAMIENTO RED MEDIA'!$Q$53*'3-ZONIFICACION DE CARGA'!E25</f>
        <v>205.03947915942953</v>
      </c>
      <c r="I25" s="641">
        <f>+'1-CLIENTE-RED-ENDEUDAMIEN'!$K$180*'4-ENDEUDAMIENTO RED CORTA'!$R$53</f>
        <v>1.8962278489829312</v>
      </c>
      <c r="J25" s="641">
        <f>+'1-CLIENTE-RED-ENDEUDAMIEN'!$K$132*'4-ENDEUDAMIENTO RED CORTA'!$R$161</f>
        <v>2.099467373764289</v>
      </c>
      <c r="K25" s="691">
        <f>+'1-CLIENTE-RED-ENDEUDAMIEN'!$K$136*'4-ENDEUDAMIENTO RED CORTA'!$V$215</f>
        <v>73.907506026170822</v>
      </c>
      <c r="L25" s="838"/>
      <c r="M25" s="749"/>
      <c r="N25" s="720" t="s">
        <v>21</v>
      </c>
      <c r="O25" s="721" t="s">
        <v>21</v>
      </c>
      <c r="P25" s="721"/>
      <c r="Q25" s="721"/>
      <c r="R25" s="721" t="s">
        <v>186</v>
      </c>
      <c r="S25" s="721" t="s">
        <v>21</v>
      </c>
      <c r="T25" s="722" t="s">
        <v>21</v>
      </c>
    </row>
    <row r="26" spans="1:20" s="685" customFormat="1" ht="15.75" thickBot="1" x14ac:dyDescent="0.3">
      <c r="A26" s="821" t="s">
        <v>306</v>
      </c>
      <c r="B26" s="822"/>
      <c r="C26" s="680">
        <v>3</v>
      </c>
      <c r="D26" s="684">
        <f>SUM(D23:D25)</f>
        <v>11</v>
      </c>
      <c r="E26" s="684">
        <f t="shared" ref="E26:K26" si="4">SUM(E23:E25)</f>
        <v>6</v>
      </c>
      <c r="F26" s="684">
        <f t="shared" si="4"/>
        <v>8</v>
      </c>
      <c r="G26" s="684">
        <f t="shared" si="4"/>
        <v>149.41146388849029</v>
      </c>
      <c r="H26" s="684">
        <f t="shared" si="4"/>
        <v>615.11843747828857</v>
      </c>
      <c r="I26" s="684">
        <f t="shared" si="4"/>
        <v>5.6886835469487931</v>
      </c>
      <c r="J26" s="684">
        <f t="shared" si="4"/>
        <v>6.2984021212928667</v>
      </c>
      <c r="K26" s="694">
        <f t="shared" si="4"/>
        <v>73.907506026170822</v>
      </c>
      <c r="L26" s="839"/>
      <c r="M26" s="750"/>
      <c r="N26" s="720" t="s">
        <v>21</v>
      </c>
      <c r="O26" s="721" t="s">
        <v>21</v>
      </c>
      <c r="P26" s="721"/>
      <c r="Q26" s="721"/>
      <c r="R26" s="721" t="s">
        <v>186</v>
      </c>
      <c r="S26" s="721" t="s">
        <v>21</v>
      </c>
      <c r="T26" s="722" t="s">
        <v>21</v>
      </c>
    </row>
    <row r="27" spans="1:20" s="587" customFormat="1" ht="15.75" thickBot="1" x14ac:dyDescent="0.3">
      <c r="A27" s="826" t="s">
        <v>295</v>
      </c>
      <c r="B27" s="832" t="s">
        <v>317</v>
      </c>
      <c r="C27" s="676" t="s">
        <v>244</v>
      </c>
      <c r="D27" s="675">
        <v>6</v>
      </c>
      <c r="E27" s="583">
        <v>2</v>
      </c>
      <c r="F27" s="583">
        <v>5</v>
      </c>
      <c r="G27" s="670">
        <f>+'4-ENDEUDAMIENTO RED LARGA'!$Q$53*'3-ZONIFICACION DE CARGA'!D27</f>
        <v>81.497162120994702</v>
      </c>
      <c r="H27" s="670">
        <f>+'4-ENDEUDAMIENTO RED MEDIA'!$Q$53*'3-ZONIFICACION DE CARGA'!E27</f>
        <v>205.03947915942953</v>
      </c>
      <c r="I27" s="641">
        <f>+'1-CLIENTE-RED-ENDEUDAMIEN'!$K$180*'4-ENDEUDAMIENTO RED CORTA'!$R$53</f>
        <v>1.8962278489829312</v>
      </c>
      <c r="J27" s="641">
        <f>+'1-CLIENTE-RED-ENDEUDAMIEN'!K171*'4-ENDEUDAMIENTO RED CORTA'!$R$161</f>
        <v>4.1989347475285781</v>
      </c>
      <c r="K27" s="691">
        <f>+'1-CLIENTE-RED-ENDEUDAMIEN'!$K$136*'4-ENDEUDAMIENTO RED CORTA'!$V$215</f>
        <v>73.907506026170822</v>
      </c>
      <c r="L27" s="837">
        <f>SUM(G30:K30)</f>
        <v>1043.187020921559</v>
      </c>
      <c r="M27" s="748">
        <f>+L27/45</f>
        <v>23.181933798256868</v>
      </c>
      <c r="N27" s="720" t="s">
        <v>21</v>
      </c>
      <c r="O27" s="721" t="s">
        <v>21</v>
      </c>
      <c r="P27" s="721"/>
      <c r="Q27" s="721"/>
      <c r="R27" s="721" t="s">
        <v>21</v>
      </c>
      <c r="S27" s="721" t="s">
        <v>186</v>
      </c>
      <c r="T27" s="722" t="s">
        <v>21</v>
      </c>
    </row>
    <row r="28" spans="1:20" s="587" customFormat="1" ht="15.75" thickBot="1" x14ac:dyDescent="0.3">
      <c r="A28" s="827"/>
      <c r="B28" s="833"/>
      <c r="C28" s="677" t="s">
        <v>245</v>
      </c>
      <c r="D28" s="675">
        <v>4</v>
      </c>
      <c r="E28" s="583">
        <v>2</v>
      </c>
      <c r="F28" s="583">
        <v>4</v>
      </c>
      <c r="G28" s="670">
        <f>+'4-ENDEUDAMIENTO RED LARGA'!$Q$53*'3-ZONIFICACION DE CARGA'!D28</f>
        <v>54.331441413996465</v>
      </c>
      <c r="H28" s="670">
        <f>+'4-ENDEUDAMIENTO RED MEDIA'!$Q$53*'3-ZONIFICACION DE CARGA'!E28</f>
        <v>205.03947915942953</v>
      </c>
      <c r="I28" s="641">
        <f>+'1-CLIENTE-RED-ENDEUDAMIEN'!$K$180*'4-ENDEUDAMIENTO RED CORTA'!$R$53</f>
        <v>1.8962278489829312</v>
      </c>
      <c r="J28" s="641">
        <f>+'1-CLIENTE-RED-ENDEUDAMIEN'!$K$132*'4-ENDEUDAMIENTO RED CORTA'!$R$161</f>
        <v>2.099467373764289</v>
      </c>
      <c r="K28" s="691">
        <f>+'1-CLIENTE-RED-ENDEUDAMIEN'!K148*'4-ENDEUDAMIENTO RED CORTA'!$V$215</f>
        <v>147.81501205234164</v>
      </c>
      <c r="L28" s="838"/>
      <c r="M28" s="749"/>
      <c r="N28" s="720" t="s">
        <v>21</v>
      </c>
      <c r="O28" s="721" t="s">
        <v>21</v>
      </c>
      <c r="P28" s="721"/>
      <c r="Q28" s="721"/>
      <c r="R28" s="721" t="s">
        <v>21</v>
      </c>
      <c r="S28" s="721" t="s">
        <v>186</v>
      </c>
      <c r="T28" s="722" t="s">
        <v>21</v>
      </c>
    </row>
    <row r="29" spans="1:20" s="587" customFormat="1" ht="15.75" thickBot="1" x14ac:dyDescent="0.3">
      <c r="A29" s="828"/>
      <c r="B29" s="834"/>
      <c r="C29" s="678" t="s">
        <v>251</v>
      </c>
      <c r="D29" s="675">
        <v>4</v>
      </c>
      <c r="E29" s="583">
        <v>2</v>
      </c>
      <c r="F29" s="583">
        <v>3</v>
      </c>
      <c r="G29" s="670">
        <f>+'4-ENDEUDAMIENTO RED LARGA'!$Q$53*'3-ZONIFICACION DE CARGA'!D29</f>
        <v>54.331441413996465</v>
      </c>
      <c r="H29" s="670">
        <f>+'4-ENDEUDAMIENTO RED MEDIA'!$Q$53*'3-ZONIFICACION DE CARGA'!E29</f>
        <v>205.03947915942953</v>
      </c>
      <c r="I29" s="641">
        <f>+'1-CLIENTE-RED-ENDEUDAMIEN'!$K$180*'4-ENDEUDAMIENTO RED CORTA'!$R$53</f>
        <v>1.8962278489829312</v>
      </c>
      <c r="J29" s="641">
        <f>+'1-CLIENTE-RED-ENDEUDAMIEN'!K135*'4-ENDEUDAMIENTO RED CORTA'!$R$161</f>
        <v>4.1989347475285781</v>
      </c>
      <c r="K29" s="691">
        <v>0</v>
      </c>
      <c r="L29" s="838"/>
      <c r="M29" s="749"/>
      <c r="N29" s="720" t="s">
        <v>21</v>
      </c>
      <c r="O29" s="721" t="s">
        <v>321</v>
      </c>
      <c r="P29" s="721"/>
      <c r="Q29" s="721"/>
      <c r="R29" s="721" t="s">
        <v>21</v>
      </c>
      <c r="S29" s="721" t="s">
        <v>186</v>
      </c>
      <c r="T29" s="722" t="s">
        <v>21</v>
      </c>
    </row>
    <row r="30" spans="1:20" s="685" customFormat="1" ht="15.75" thickBot="1" x14ac:dyDescent="0.3">
      <c r="A30" s="821" t="s">
        <v>307</v>
      </c>
      <c r="B30" s="822"/>
      <c r="C30" s="680">
        <v>3</v>
      </c>
      <c r="D30" s="684">
        <f>SUM(D27:D29)</f>
        <v>14</v>
      </c>
      <c r="E30" s="684">
        <f t="shared" ref="E30:K30" si="5">SUM(E27:E29)</f>
        <v>6</v>
      </c>
      <c r="F30" s="684">
        <f t="shared" si="5"/>
        <v>12</v>
      </c>
      <c r="G30" s="684">
        <f t="shared" si="5"/>
        <v>190.16004494898763</v>
      </c>
      <c r="H30" s="684">
        <f t="shared" si="5"/>
        <v>615.11843747828857</v>
      </c>
      <c r="I30" s="684">
        <f t="shared" si="5"/>
        <v>5.6886835469487931</v>
      </c>
      <c r="J30" s="684">
        <f t="shared" si="5"/>
        <v>10.497336868821446</v>
      </c>
      <c r="K30" s="694">
        <f t="shared" si="5"/>
        <v>221.72251807851245</v>
      </c>
      <c r="L30" s="839"/>
      <c r="M30" s="750"/>
      <c r="N30" s="720" t="s">
        <v>21</v>
      </c>
      <c r="O30" s="721" t="s">
        <v>21</v>
      </c>
      <c r="P30" s="721"/>
      <c r="Q30" s="721"/>
      <c r="R30" s="721" t="s">
        <v>21</v>
      </c>
      <c r="S30" s="721" t="s">
        <v>186</v>
      </c>
      <c r="T30" s="722" t="s">
        <v>21</v>
      </c>
    </row>
    <row r="31" spans="1:20" s="587" customFormat="1" x14ac:dyDescent="0.25">
      <c r="D31" s="703">
        <f>+D9+D13+D18+D22+D26+D30</f>
        <v>88</v>
      </c>
      <c r="E31" s="703">
        <f t="shared" ref="E31:K31" si="6">+E9+E13+E18+E22+E26+E30</f>
        <v>37</v>
      </c>
      <c r="F31" s="703">
        <f t="shared" si="6"/>
        <v>52</v>
      </c>
      <c r="G31" s="703">
        <f t="shared" si="6"/>
        <v>1195.2917111079223</v>
      </c>
      <c r="H31" s="703">
        <f t="shared" si="6"/>
        <v>3793.2303644494468</v>
      </c>
      <c r="I31" s="703">
        <f t="shared" si="6"/>
        <v>32.23587343270983</v>
      </c>
      <c r="J31" s="703">
        <f t="shared" si="6"/>
        <v>44.088814849050067</v>
      </c>
      <c r="K31" s="703">
        <f t="shared" si="6"/>
        <v>812.98256628787908</v>
      </c>
      <c r="L31" s="761">
        <f>SUM(L6:L30)</f>
        <v>5877.8293301270078</v>
      </c>
      <c r="M31" s="761">
        <f>SUM(M6:M30)</f>
        <v>130.61842955837795</v>
      </c>
    </row>
    <row r="32" spans="1:20" s="587" customFormat="1" x14ac:dyDescent="0.25">
      <c r="A32" s="587" t="s">
        <v>319</v>
      </c>
      <c r="E32" s="703"/>
      <c r="I32" s="640"/>
      <c r="J32" s="640"/>
      <c r="K32" s="640"/>
    </row>
    <row r="33" spans="4:4" customFormat="1" x14ac:dyDescent="0.25">
      <c r="D33" s="270">
        <f>SUM(D31:F32)</f>
        <v>177</v>
      </c>
    </row>
  </sheetData>
  <mergeCells count="27">
    <mergeCell ref="L27:L30"/>
    <mergeCell ref="L6:L9"/>
    <mergeCell ref="L10:L13"/>
    <mergeCell ref="L14:L18"/>
    <mergeCell ref="L19:L22"/>
    <mergeCell ref="L23:L26"/>
    <mergeCell ref="A5:A8"/>
    <mergeCell ref="A10:A12"/>
    <mergeCell ref="A14:A17"/>
    <mergeCell ref="A19:A21"/>
    <mergeCell ref="N3:T3"/>
    <mergeCell ref="A1:T1"/>
    <mergeCell ref="A30:B30"/>
    <mergeCell ref="B5:B8"/>
    <mergeCell ref="B19:B21"/>
    <mergeCell ref="B10:B12"/>
    <mergeCell ref="B14:B17"/>
    <mergeCell ref="B23:B25"/>
    <mergeCell ref="B27:B29"/>
    <mergeCell ref="A27:A29"/>
    <mergeCell ref="A26:B26"/>
    <mergeCell ref="A23:A25"/>
    <mergeCell ref="I3:K3"/>
    <mergeCell ref="A9:B9"/>
    <mergeCell ref="A13:B13"/>
    <mergeCell ref="A18:B18"/>
    <mergeCell ref="A22:B22"/>
  </mergeCells>
  <pageMargins left="0.7" right="0.7" top="0.75" bottom="0.75" header="0.3" footer="0.3"/>
  <pageSetup orientation="portrait" r:id="rId1"/>
  <ignoredErrors>
    <ignoredError sqref="I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A32" workbookViewId="0">
      <selection activeCell="D4" sqref="D4:D5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8" width="17.570312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9.85546875" style="1" bestFit="1" customWidth="1"/>
    <col min="13" max="13" width="12.85546875" style="1" bestFit="1" customWidth="1"/>
    <col min="14" max="14" width="15.5703125" style="1" bestFit="1" customWidth="1"/>
    <col min="15" max="15" width="1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5" style="1" bestFit="1" customWidth="1"/>
    <col min="21" max="21" width="10" style="1" bestFit="1" customWidth="1"/>
    <col min="22" max="22" width="13.85546875" style="1" bestFit="1" customWidth="1"/>
    <col min="23" max="23" width="15" style="1" bestFit="1" customWidth="1"/>
    <col min="24" max="24" width="15.42578125" style="1" bestFit="1" customWidth="1"/>
    <col min="25" max="25" width="13.85546875" style="1" bestFit="1" customWidth="1"/>
    <col min="26" max="26" width="17.28515625" style="1" customWidth="1"/>
    <col min="27" max="27" width="11.85546875" style="1" bestFit="1" customWidth="1"/>
    <col min="28" max="28" width="13.85546875" style="1" bestFit="1" customWidth="1"/>
    <col min="29" max="29" width="15" style="1" bestFit="1" customWidth="1"/>
    <col min="30" max="30" width="11.5703125" style="1" bestFit="1" customWidth="1"/>
    <col min="31" max="31" width="15.5703125" style="1" bestFit="1" customWidth="1"/>
    <col min="32" max="32" width="15" style="1" bestFit="1" customWidth="1"/>
    <col min="33" max="16384" width="11.42578125" style="1"/>
  </cols>
  <sheetData>
    <row r="1" spans="1:32" ht="34.5" thickBot="1" x14ac:dyDescent="0.55000000000000004">
      <c r="A1" s="774" t="s">
        <v>154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AF1" s="776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+pronostico!G3*50%</f>
        <v>82949.747123200257</v>
      </c>
      <c r="G4" s="137">
        <f>F4*D4</f>
        <v>407283258.37491328</v>
      </c>
      <c r="H4" s="138">
        <f>G4*E4</f>
        <v>162913303.34996533</v>
      </c>
      <c r="I4" s="137">
        <f>+F4*50%</f>
        <v>41474.873561600129</v>
      </c>
      <c r="J4" s="139">
        <f>+F4*30%</f>
        <v>24884.924136960075</v>
      </c>
      <c r="K4" s="167">
        <f t="shared" ref="K4:K51" si="0">+F4*10%</f>
        <v>8294.9747123200268</v>
      </c>
      <c r="L4" s="168">
        <f t="shared" ref="L4:L18" si="1">+F4*10%</f>
        <v>8294.9747123200268</v>
      </c>
      <c r="M4" s="169">
        <f>+pronostico!G3*20%</f>
        <v>33179.898849280107</v>
      </c>
      <c r="N4" s="170">
        <f t="shared" ref="N4:N51" si="2">M4*D4</f>
        <v>162913303.34996533</v>
      </c>
      <c r="O4" s="171">
        <f t="shared" ref="O4:O51" si="3">N4*E4</f>
        <v>65165321.339986138</v>
      </c>
      <c r="P4" s="170">
        <f>+M4*50%</f>
        <v>16589.949424640054</v>
      </c>
      <c r="Q4" s="172">
        <f>+M4*50%</f>
        <v>16589.949424640054</v>
      </c>
      <c r="R4" s="173">
        <f>+pronostico!G3*8%</f>
        <v>13271.959539712041</v>
      </c>
      <c r="S4" s="174">
        <f t="shared" ref="S4:S51" si="4">R4*D4</f>
        <v>65165321.339986123</v>
      </c>
      <c r="T4" s="175">
        <f t="shared" ref="T4:T51" si="5">S4*E4</f>
        <v>26066128.535994451</v>
      </c>
      <c r="U4" s="173">
        <f>+pronostico!G3*8%</f>
        <v>13271.959539712041</v>
      </c>
      <c r="V4" s="176">
        <f t="shared" ref="V4:V35" si="6">U4*D4</f>
        <v>65165321.339986123</v>
      </c>
      <c r="W4" s="177">
        <f t="shared" ref="W4:W35" si="7">V4*E4</f>
        <v>26066128.535994451</v>
      </c>
      <c r="X4" s="173">
        <f>+pronostico!G3*2%</f>
        <v>3317.9898849280103</v>
      </c>
      <c r="Y4" s="178">
        <f t="shared" ref="Y4:Y51" si="8">X4*D4</f>
        <v>16291330.334996531</v>
      </c>
      <c r="Z4" s="178">
        <f t="shared" ref="Z4:Z51" si="9">Y4*E4</f>
        <v>6516532.1339986129</v>
      </c>
      <c r="AA4" s="173">
        <f>+pronostico!G3*2%</f>
        <v>3317.9898849280103</v>
      </c>
      <c r="AB4" s="176">
        <f t="shared" ref="AB4:AB51" si="10">AA4*D4</f>
        <v>16291330.334996531</v>
      </c>
      <c r="AC4" s="177">
        <f t="shared" ref="AC4:AC51" si="11">AB4*E4</f>
        <v>6516532.1339986129</v>
      </c>
      <c r="AD4" s="173">
        <f>+pronostico!G3*10%</f>
        <v>16589.949424640054</v>
      </c>
      <c r="AE4" s="176">
        <f>+AD4*D4</f>
        <v>81456651.674982667</v>
      </c>
      <c r="AF4" s="177">
        <f>+AE4*E4</f>
        <v>32582660.669993069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+pronostico!G4*50%</f>
        <v>60158.494171134203</v>
      </c>
      <c r="G5" s="137">
        <f t="shared" ref="G5:H51" si="13">F5*D5</f>
        <v>295378206.38026893</v>
      </c>
      <c r="H5" s="138">
        <f t="shared" si="13"/>
        <v>118151282.55210757</v>
      </c>
      <c r="I5" s="137">
        <f t="shared" ref="I5:I20" si="14">+F5*50%</f>
        <v>30079.247085567102</v>
      </c>
      <c r="J5" s="139">
        <f t="shared" ref="J5:J51" si="15">+F5*30%</f>
        <v>18047.54825134026</v>
      </c>
      <c r="K5" s="167">
        <f t="shared" si="0"/>
        <v>6015.8494171134207</v>
      </c>
      <c r="L5" s="168">
        <f t="shared" si="1"/>
        <v>6015.8494171134207</v>
      </c>
      <c r="M5" s="169">
        <f>+pronostico!G4*20%</f>
        <v>24063.397668453683</v>
      </c>
      <c r="N5" s="170">
        <f t="shared" si="2"/>
        <v>118151282.55210759</v>
      </c>
      <c r="O5" s="171">
        <f t="shared" si="3"/>
        <v>47260513.020843036</v>
      </c>
      <c r="P5" s="170">
        <f t="shared" ref="P5:P51" si="16">+M5*50%</f>
        <v>12031.698834226841</v>
      </c>
      <c r="Q5" s="172">
        <f t="shared" ref="Q5:Q51" si="17">+M5*50%</f>
        <v>12031.698834226841</v>
      </c>
      <c r="R5" s="173">
        <f>+pronostico!G4*8%</f>
        <v>9625.3590673814724</v>
      </c>
      <c r="S5" s="174">
        <f t="shared" si="4"/>
        <v>47260513.020843029</v>
      </c>
      <c r="T5" s="175">
        <f t="shared" si="5"/>
        <v>18904205.208337214</v>
      </c>
      <c r="U5" s="173">
        <f>+pronostico!G4*8%</f>
        <v>9625.3590673814724</v>
      </c>
      <c r="V5" s="176">
        <f t="shared" si="6"/>
        <v>47260513.020843029</v>
      </c>
      <c r="W5" s="177">
        <f t="shared" si="7"/>
        <v>18904205.208337214</v>
      </c>
      <c r="X5" s="173">
        <f>+pronostico!G4*2%</f>
        <v>2406.3397668453681</v>
      </c>
      <c r="Y5" s="178">
        <f t="shared" si="8"/>
        <v>11815128.255210757</v>
      </c>
      <c r="Z5" s="178">
        <f t="shared" si="9"/>
        <v>4726051.3020843035</v>
      </c>
      <c r="AA5" s="173">
        <f>+pronostico!G4*2%</f>
        <v>2406.3397668453681</v>
      </c>
      <c r="AB5" s="179">
        <f t="shared" si="10"/>
        <v>11815128.255210757</v>
      </c>
      <c r="AC5" s="180">
        <f t="shared" si="11"/>
        <v>4726051.3020843035</v>
      </c>
      <c r="AD5" s="173">
        <f>+pronostico!G4*10%</f>
        <v>12031.698834226841</v>
      </c>
      <c r="AE5" s="176">
        <f t="shared" ref="AE5:AF20" si="18">+AD5*D5</f>
        <v>59075641.276053794</v>
      </c>
      <c r="AF5" s="177">
        <f t="shared" si="18"/>
        <v>23630256.510421518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+pronostico!G5*50%</f>
        <v>16707.331733975156</v>
      </c>
      <c r="G6" s="137">
        <f t="shared" si="13"/>
        <v>100243990.40385093</v>
      </c>
      <c r="H6" s="138">
        <f t="shared" si="13"/>
        <v>40097596.161540374</v>
      </c>
      <c r="I6" s="137">
        <f t="shared" si="14"/>
        <v>8353.6658669875778</v>
      </c>
      <c r="J6" s="139">
        <f t="shared" si="15"/>
        <v>5012.1995201925465</v>
      </c>
      <c r="K6" s="167">
        <f t="shared" si="0"/>
        <v>1670.7331733975157</v>
      </c>
      <c r="L6" s="168">
        <f t="shared" si="1"/>
        <v>1670.7331733975157</v>
      </c>
      <c r="M6" s="169">
        <f>+pronostico!G5*20%</f>
        <v>6682.9326935900626</v>
      </c>
      <c r="N6" s="170">
        <f t="shared" si="2"/>
        <v>40097596.161540374</v>
      </c>
      <c r="O6" s="171">
        <f t="shared" si="3"/>
        <v>16039038.46461615</v>
      </c>
      <c r="P6" s="170">
        <f t="shared" si="16"/>
        <v>3341.4663467950313</v>
      </c>
      <c r="Q6" s="172">
        <f t="shared" si="17"/>
        <v>3341.4663467950313</v>
      </c>
      <c r="R6" s="173">
        <f>+pronostico!G5*8%</f>
        <v>2673.1730774360249</v>
      </c>
      <c r="S6" s="174">
        <f t="shared" si="4"/>
        <v>16039038.46461615</v>
      </c>
      <c r="T6" s="175">
        <f t="shared" si="5"/>
        <v>6415615.3858464602</v>
      </c>
      <c r="U6" s="173">
        <f>+pronostico!G5*8%</f>
        <v>2673.1730774360249</v>
      </c>
      <c r="V6" s="176">
        <f t="shared" si="6"/>
        <v>16039038.46461615</v>
      </c>
      <c r="W6" s="177">
        <f t="shared" si="7"/>
        <v>6415615.3858464602</v>
      </c>
      <c r="X6" s="173">
        <f>+pronostico!G5*2%</f>
        <v>668.29326935900622</v>
      </c>
      <c r="Y6" s="178">
        <f t="shared" si="8"/>
        <v>4009759.6161540374</v>
      </c>
      <c r="Z6" s="178">
        <f t="shared" si="9"/>
        <v>1603903.8464616151</v>
      </c>
      <c r="AA6" s="173">
        <f>+pronostico!G5*2%</f>
        <v>668.29326935900622</v>
      </c>
      <c r="AB6" s="179">
        <f t="shared" si="10"/>
        <v>4009759.6161540374</v>
      </c>
      <c r="AC6" s="180">
        <f t="shared" si="11"/>
        <v>1603903.8464616151</v>
      </c>
      <c r="AD6" s="173">
        <f>+pronostico!G5*10%</f>
        <v>3341.4663467950313</v>
      </c>
      <c r="AE6" s="176">
        <f t="shared" si="18"/>
        <v>20048798.080770187</v>
      </c>
      <c r="AF6" s="177">
        <f t="shared" si="18"/>
        <v>8019519.2323080748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+pronostico!G6*50%</f>
        <v>31129.676292970515</v>
      </c>
      <c r="G7" s="137">
        <f t="shared" si="13"/>
        <v>159695239.38293874</v>
      </c>
      <c r="H7" s="138">
        <f t="shared" si="13"/>
        <v>63878095.753175497</v>
      </c>
      <c r="I7" s="137">
        <f t="shared" si="14"/>
        <v>15564.838146485257</v>
      </c>
      <c r="J7" s="139">
        <f t="shared" si="15"/>
        <v>9338.902887891154</v>
      </c>
      <c r="K7" s="167">
        <f t="shared" si="0"/>
        <v>3112.9676292970516</v>
      </c>
      <c r="L7" s="168">
        <f t="shared" si="1"/>
        <v>3112.9676292970516</v>
      </c>
      <c r="M7" s="169">
        <f>+pronostico!G6*20%</f>
        <v>12451.870517188207</v>
      </c>
      <c r="N7" s="170">
        <f t="shared" si="2"/>
        <v>63878095.753175497</v>
      </c>
      <c r="O7" s="171">
        <f t="shared" si="3"/>
        <v>25551238.301270202</v>
      </c>
      <c r="P7" s="170">
        <f t="shared" si="16"/>
        <v>6225.9352585941033</v>
      </c>
      <c r="Q7" s="172">
        <f t="shared" si="17"/>
        <v>6225.9352585941033</v>
      </c>
      <c r="R7" s="173">
        <f>+pronostico!G6*8%</f>
        <v>4980.7482068752824</v>
      </c>
      <c r="S7" s="174">
        <f t="shared" si="4"/>
        <v>25551238.301270198</v>
      </c>
      <c r="T7" s="175">
        <f t="shared" si="5"/>
        <v>10220495.32050808</v>
      </c>
      <c r="U7" s="173">
        <f>+pronostico!G6*8%</f>
        <v>4980.7482068752824</v>
      </c>
      <c r="V7" s="176">
        <f t="shared" si="6"/>
        <v>25551238.301270198</v>
      </c>
      <c r="W7" s="177">
        <f t="shared" si="7"/>
        <v>10220495.32050808</v>
      </c>
      <c r="X7" s="173">
        <f>+pronostico!G6*2%</f>
        <v>1245.1870517188206</v>
      </c>
      <c r="Y7" s="178">
        <f t="shared" si="8"/>
        <v>6387809.5753175495</v>
      </c>
      <c r="Z7" s="178">
        <f t="shared" si="9"/>
        <v>2555123.8301270199</v>
      </c>
      <c r="AA7" s="173">
        <f>+pronostico!G6*2%</f>
        <v>1245.1870517188206</v>
      </c>
      <c r="AB7" s="179">
        <f t="shared" si="10"/>
        <v>6387809.5753175495</v>
      </c>
      <c r="AC7" s="180">
        <f t="shared" si="11"/>
        <v>2555123.8301270199</v>
      </c>
      <c r="AD7" s="173">
        <f>+pronostico!G6*10%</f>
        <v>6225.9352585941033</v>
      </c>
      <c r="AE7" s="176">
        <f t="shared" si="18"/>
        <v>31939047.876587749</v>
      </c>
      <c r="AF7" s="177">
        <f t="shared" si="18"/>
        <v>12775619.150635101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+pronostico!G7*50%</f>
        <v>26442.239902983478</v>
      </c>
      <c r="G8" s="137">
        <f t="shared" si="13"/>
        <v>226081151.17050874</v>
      </c>
      <c r="H8" s="138">
        <f t="shared" si="13"/>
        <v>90432460.4682035</v>
      </c>
      <c r="I8" s="137">
        <f t="shared" si="14"/>
        <v>13221.119951491739</v>
      </c>
      <c r="J8" s="139">
        <f t="shared" si="15"/>
        <v>7932.6719708950432</v>
      </c>
      <c r="K8" s="167">
        <f t="shared" si="0"/>
        <v>2644.2239902983479</v>
      </c>
      <c r="L8" s="168">
        <f t="shared" si="1"/>
        <v>2644.2239902983479</v>
      </c>
      <c r="M8" s="169">
        <f>+pronostico!G7*20%</f>
        <v>10576.895961193391</v>
      </c>
      <c r="N8" s="170">
        <f t="shared" si="2"/>
        <v>90432460.4682035</v>
      </c>
      <c r="O8" s="171">
        <f t="shared" si="3"/>
        <v>36172984.1872814</v>
      </c>
      <c r="P8" s="170">
        <f t="shared" si="16"/>
        <v>5288.4479805966957</v>
      </c>
      <c r="Q8" s="172">
        <f t="shared" si="17"/>
        <v>5288.4479805966957</v>
      </c>
      <c r="R8" s="173">
        <f>+pronostico!G7*8%</f>
        <v>4230.7583844773562</v>
      </c>
      <c r="S8" s="174">
        <f t="shared" si="4"/>
        <v>36172984.187281393</v>
      </c>
      <c r="T8" s="175">
        <f t="shared" si="5"/>
        <v>14469193.674912557</v>
      </c>
      <c r="U8" s="173">
        <f>+pronostico!G7*8%</f>
        <v>4230.7583844773562</v>
      </c>
      <c r="V8" s="176">
        <f t="shared" si="6"/>
        <v>36172984.187281393</v>
      </c>
      <c r="W8" s="177">
        <f t="shared" si="7"/>
        <v>14469193.674912557</v>
      </c>
      <c r="X8" s="173">
        <f>+pronostico!G7*2%</f>
        <v>1057.6895961193391</v>
      </c>
      <c r="Y8" s="178">
        <f t="shared" si="8"/>
        <v>9043246.0468203481</v>
      </c>
      <c r="Z8" s="178">
        <f t="shared" si="9"/>
        <v>3617298.4187281393</v>
      </c>
      <c r="AA8" s="173">
        <f>+pronostico!G7*2%</f>
        <v>1057.6895961193391</v>
      </c>
      <c r="AB8" s="179">
        <f t="shared" si="10"/>
        <v>9043246.0468203481</v>
      </c>
      <c r="AC8" s="180">
        <f t="shared" si="11"/>
        <v>3617298.4187281393</v>
      </c>
      <c r="AD8" s="173">
        <f>+pronostico!G7*10%</f>
        <v>5288.4479805966957</v>
      </c>
      <c r="AE8" s="176">
        <f t="shared" si="18"/>
        <v>45216230.23410175</v>
      </c>
      <c r="AF8" s="177">
        <f t="shared" si="18"/>
        <v>18086492.0936407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+pronostico!G8*50%</f>
        <v>27945.962040767958</v>
      </c>
      <c r="G9" s="137">
        <f t="shared" si="13"/>
        <v>282254216.61175638</v>
      </c>
      <c r="H9" s="138">
        <f t="shared" si="13"/>
        <v>112901686.64470255</v>
      </c>
      <c r="I9" s="137">
        <f t="shared" si="14"/>
        <v>13972.981020383979</v>
      </c>
      <c r="J9" s="139">
        <f t="shared" si="15"/>
        <v>8383.7886122303862</v>
      </c>
      <c r="K9" s="167">
        <f t="shared" si="0"/>
        <v>2794.5962040767959</v>
      </c>
      <c r="L9" s="168">
        <f t="shared" si="1"/>
        <v>2794.5962040767959</v>
      </c>
      <c r="M9" s="169">
        <f>+pronostico!G8*20%</f>
        <v>11178.384816307183</v>
      </c>
      <c r="N9" s="170">
        <f t="shared" si="2"/>
        <v>112901686.64470255</v>
      </c>
      <c r="O9" s="171">
        <f t="shared" si="3"/>
        <v>45160674.657881021</v>
      </c>
      <c r="P9" s="170">
        <f t="shared" si="16"/>
        <v>5589.1924081535917</v>
      </c>
      <c r="Q9" s="172">
        <f t="shared" si="17"/>
        <v>5589.1924081535917</v>
      </c>
      <c r="R9" s="173">
        <f>+pronostico!G8*8%</f>
        <v>4471.3539265228737</v>
      </c>
      <c r="S9" s="174">
        <f t="shared" si="4"/>
        <v>45160674.657881021</v>
      </c>
      <c r="T9" s="175">
        <f t="shared" si="5"/>
        <v>18064269.863152411</v>
      </c>
      <c r="U9" s="173">
        <f>+pronostico!G8*8%</f>
        <v>4471.3539265228737</v>
      </c>
      <c r="V9" s="176">
        <f t="shared" si="6"/>
        <v>45160674.657881021</v>
      </c>
      <c r="W9" s="177">
        <f t="shared" si="7"/>
        <v>18064269.863152411</v>
      </c>
      <c r="X9" s="173">
        <f>+pronostico!G8*2%</f>
        <v>1117.8384816307184</v>
      </c>
      <c r="Y9" s="178">
        <f t="shared" si="8"/>
        <v>11290168.664470255</v>
      </c>
      <c r="Z9" s="178">
        <f t="shared" si="9"/>
        <v>4516067.4657881027</v>
      </c>
      <c r="AA9" s="173">
        <f>+pronostico!G8*2%</f>
        <v>1117.8384816307184</v>
      </c>
      <c r="AB9" s="179">
        <f t="shared" si="10"/>
        <v>11290168.664470255</v>
      </c>
      <c r="AC9" s="180">
        <f t="shared" si="11"/>
        <v>4516067.4657881027</v>
      </c>
      <c r="AD9" s="173">
        <f>+pronostico!G8*10%</f>
        <v>5589.1924081535917</v>
      </c>
      <c r="AE9" s="176">
        <f t="shared" si="18"/>
        <v>56450843.322351277</v>
      </c>
      <c r="AF9" s="177">
        <f t="shared" si="18"/>
        <v>22580337.328940511</v>
      </c>
    </row>
    <row r="10" spans="1:32" x14ac:dyDescent="0.25">
      <c r="A10" s="129">
        <f t="shared" si="19"/>
        <v>100007</v>
      </c>
      <c r="B10" s="93" t="s">
        <v>43</v>
      </c>
      <c r="C10" s="228" t="s">
        <v>46</v>
      </c>
      <c r="D10" s="229">
        <v>2340</v>
      </c>
      <c r="E10" s="135">
        <f t="shared" si="12"/>
        <v>0.5</v>
      </c>
      <c r="F10" s="136">
        <f>+pronostico!G9*50%</f>
        <v>30020.079677864804</v>
      </c>
      <c r="G10" s="137">
        <f t="shared" si="13"/>
        <v>70246986.446203634</v>
      </c>
      <c r="H10" s="138">
        <f t="shared" si="13"/>
        <v>35123493.223101817</v>
      </c>
      <c r="I10" s="137">
        <f t="shared" si="14"/>
        <v>15010.039838932402</v>
      </c>
      <c r="J10" s="139">
        <f t="shared" si="15"/>
        <v>9006.0239033594407</v>
      </c>
      <c r="K10" s="167">
        <f t="shared" si="0"/>
        <v>3002.0079677864805</v>
      </c>
      <c r="L10" s="168">
        <f t="shared" si="1"/>
        <v>3002.0079677864805</v>
      </c>
      <c r="M10" s="169">
        <f>+pronostico!G9*20%</f>
        <v>12008.031871145922</v>
      </c>
      <c r="N10" s="170">
        <f t="shared" si="2"/>
        <v>28098794.578481458</v>
      </c>
      <c r="O10" s="171">
        <f t="shared" si="3"/>
        <v>14049397.289240729</v>
      </c>
      <c r="P10" s="170">
        <f t="shared" si="16"/>
        <v>6004.0159355729611</v>
      </c>
      <c r="Q10" s="172">
        <f t="shared" si="17"/>
        <v>6004.0159355729611</v>
      </c>
      <c r="R10" s="173">
        <f>+pronostico!G9*8%</f>
        <v>4803.2127484583689</v>
      </c>
      <c r="S10" s="174">
        <f t="shared" si="4"/>
        <v>11239517.831392583</v>
      </c>
      <c r="T10" s="175">
        <f t="shared" si="5"/>
        <v>5619758.9156962913</v>
      </c>
      <c r="U10" s="173">
        <f>+pronostico!G9*8%</f>
        <v>4803.2127484583689</v>
      </c>
      <c r="V10" s="176">
        <f t="shared" si="6"/>
        <v>11239517.831392583</v>
      </c>
      <c r="W10" s="177">
        <f t="shared" si="7"/>
        <v>5619758.9156962913</v>
      </c>
      <c r="X10" s="173">
        <f>+pronostico!G9*2%</f>
        <v>1200.8031871145922</v>
      </c>
      <c r="Y10" s="178">
        <f t="shared" si="8"/>
        <v>2809879.4578481456</v>
      </c>
      <c r="Z10" s="178">
        <f t="shared" si="9"/>
        <v>1404939.7289240728</v>
      </c>
      <c r="AA10" s="173">
        <f>+pronostico!G9*2%</f>
        <v>1200.8031871145922</v>
      </c>
      <c r="AB10" s="179">
        <f t="shared" si="10"/>
        <v>2809879.4578481456</v>
      </c>
      <c r="AC10" s="180">
        <f t="shared" si="11"/>
        <v>1404939.7289240728</v>
      </c>
      <c r="AD10" s="173">
        <f>+pronostico!G9*10%</f>
        <v>6004.0159355729611</v>
      </c>
      <c r="AE10" s="176">
        <f t="shared" si="18"/>
        <v>14049397.289240729</v>
      </c>
      <c r="AF10" s="177">
        <f t="shared" si="18"/>
        <v>7024698.6446203645</v>
      </c>
    </row>
    <row r="11" spans="1:32" x14ac:dyDescent="0.25">
      <c r="A11" s="129">
        <f t="shared" si="19"/>
        <v>100008</v>
      </c>
      <c r="B11" s="93" t="s">
        <v>47</v>
      </c>
      <c r="C11" s="228" t="s">
        <v>46</v>
      </c>
      <c r="D11" s="229">
        <v>2340</v>
      </c>
      <c r="E11" s="135">
        <f t="shared" si="12"/>
        <v>0.5</v>
      </c>
      <c r="F11" s="136">
        <f>+pronostico!G10*50%</f>
        <v>12686.703315479594</v>
      </c>
      <c r="G11" s="137">
        <f t="shared" si="13"/>
        <v>29686885.758222248</v>
      </c>
      <c r="H11" s="138">
        <f t="shared" si="13"/>
        <v>14843442.879111124</v>
      </c>
      <c r="I11" s="137">
        <f t="shared" si="14"/>
        <v>6343.3516577397968</v>
      </c>
      <c r="J11" s="139">
        <f t="shared" si="15"/>
        <v>3806.0109946438779</v>
      </c>
      <c r="K11" s="167">
        <f t="shared" si="0"/>
        <v>1268.6703315479594</v>
      </c>
      <c r="L11" s="168">
        <f t="shared" si="1"/>
        <v>1268.6703315479594</v>
      </c>
      <c r="M11" s="169">
        <f>+pronostico!G10*20%</f>
        <v>5074.6813261918378</v>
      </c>
      <c r="N11" s="170">
        <f t="shared" si="2"/>
        <v>11874754.303288901</v>
      </c>
      <c r="O11" s="171">
        <f t="shared" si="3"/>
        <v>5937377.1516444506</v>
      </c>
      <c r="P11" s="170">
        <f t="shared" si="16"/>
        <v>2537.3406630959189</v>
      </c>
      <c r="Q11" s="172">
        <f t="shared" si="17"/>
        <v>2537.3406630959189</v>
      </c>
      <c r="R11" s="173">
        <f>+pronostico!G10*8%</f>
        <v>2029.8725304767349</v>
      </c>
      <c r="S11" s="174">
        <f t="shared" si="4"/>
        <v>4749901.7213155599</v>
      </c>
      <c r="T11" s="175">
        <f t="shared" si="5"/>
        <v>2374950.86065778</v>
      </c>
      <c r="U11" s="173">
        <f>+pronostico!G10*8%</f>
        <v>2029.8725304767349</v>
      </c>
      <c r="V11" s="176">
        <f t="shared" si="6"/>
        <v>4749901.7213155599</v>
      </c>
      <c r="W11" s="177">
        <f t="shared" si="7"/>
        <v>2374950.86065778</v>
      </c>
      <c r="X11" s="173">
        <f>+pronostico!G10*2%</f>
        <v>507.46813261918373</v>
      </c>
      <c r="Y11" s="178">
        <f t="shared" si="8"/>
        <v>1187475.43032889</v>
      </c>
      <c r="Z11" s="178">
        <f t="shared" si="9"/>
        <v>593737.71516444499</v>
      </c>
      <c r="AA11" s="173">
        <f>+pronostico!G10*2%</f>
        <v>507.46813261918373</v>
      </c>
      <c r="AB11" s="179">
        <f t="shared" si="10"/>
        <v>1187475.43032889</v>
      </c>
      <c r="AC11" s="180">
        <f t="shared" si="11"/>
        <v>593737.71516444499</v>
      </c>
      <c r="AD11" s="173">
        <f>+pronostico!G10*10%</f>
        <v>2537.3406630959189</v>
      </c>
      <c r="AE11" s="176">
        <f t="shared" si="18"/>
        <v>5937377.1516444506</v>
      </c>
      <c r="AF11" s="177">
        <f t="shared" si="18"/>
        <v>2968688.5758222253</v>
      </c>
    </row>
    <row r="12" spans="1:32" x14ac:dyDescent="0.25">
      <c r="A12" s="129">
        <f t="shared" si="19"/>
        <v>100009</v>
      </c>
      <c r="B12" s="93" t="s">
        <v>50</v>
      </c>
      <c r="C12" s="228" t="s">
        <v>46</v>
      </c>
      <c r="D12" s="229">
        <v>2240</v>
      </c>
      <c r="E12" s="135">
        <f t="shared" si="12"/>
        <v>0.5</v>
      </c>
      <c r="F12" s="136">
        <f>+pronostico!G11*50%</f>
        <v>50300.891314823588</v>
      </c>
      <c r="G12" s="137">
        <f t="shared" si="13"/>
        <v>112673996.54520483</v>
      </c>
      <c r="H12" s="138">
        <f t="shared" si="13"/>
        <v>56336998.272602417</v>
      </c>
      <c r="I12" s="137">
        <f t="shared" si="14"/>
        <v>25150.445657411794</v>
      </c>
      <c r="J12" s="139">
        <f t="shared" si="15"/>
        <v>15090.267394447075</v>
      </c>
      <c r="K12" s="167">
        <f t="shared" si="0"/>
        <v>5030.0891314823593</v>
      </c>
      <c r="L12" s="168">
        <f t="shared" si="1"/>
        <v>5030.0891314823593</v>
      </c>
      <c r="M12" s="169">
        <f>+pronostico!G11*20%</f>
        <v>20120.356525929437</v>
      </c>
      <c r="N12" s="170">
        <f t="shared" si="2"/>
        <v>45069598.618081942</v>
      </c>
      <c r="O12" s="171">
        <f t="shared" si="3"/>
        <v>22534799.309040971</v>
      </c>
      <c r="P12" s="170">
        <f t="shared" si="16"/>
        <v>10060.178262964719</v>
      </c>
      <c r="Q12" s="172">
        <f t="shared" si="17"/>
        <v>10060.178262964719</v>
      </c>
      <c r="R12" s="173">
        <f>+pronostico!G11*8%</f>
        <v>8048.142610371774</v>
      </c>
      <c r="S12" s="174">
        <f t="shared" si="4"/>
        <v>18027839.447232775</v>
      </c>
      <c r="T12" s="175">
        <f t="shared" si="5"/>
        <v>9013919.7236163877</v>
      </c>
      <c r="U12" s="173">
        <f>+pronostico!G11*8%</f>
        <v>8048.142610371774</v>
      </c>
      <c r="V12" s="176">
        <f t="shared" si="6"/>
        <v>18027839.447232775</v>
      </c>
      <c r="W12" s="177">
        <f t="shared" si="7"/>
        <v>9013919.7236163877</v>
      </c>
      <c r="X12" s="173">
        <f>+pronostico!G11*2%</f>
        <v>2012.0356525929435</v>
      </c>
      <c r="Y12" s="178">
        <f t="shared" si="8"/>
        <v>4506959.8618081938</v>
      </c>
      <c r="Z12" s="178">
        <f t="shared" si="9"/>
        <v>2253479.9309040969</v>
      </c>
      <c r="AA12" s="173">
        <f>+pronostico!G11*2%</f>
        <v>2012.0356525929435</v>
      </c>
      <c r="AB12" s="179">
        <f t="shared" si="10"/>
        <v>4506959.8618081938</v>
      </c>
      <c r="AC12" s="180">
        <f t="shared" si="11"/>
        <v>2253479.9309040969</v>
      </c>
      <c r="AD12" s="173">
        <f>+pronostico!G11*10%</f>
        <v>10060.178262964719</v>
      </c>
      <c r="AE12" s="176">
        <f t="shared" si="18"/>
        <v>22534799.309040971</v>
      </c>
      <c r="AF12" s="177">
        <f t="shared" si="18"/>
        <v>11267399.654520486</v>
      </c>
    </row>
    <row r="13" spans="1:32" x14ac:dyDescent="0.25">
      <c r="A13" s="129">
        <f t="shared" si="19"/>
        <v>100010</v>
      </c>
      <c r="B13" s="93" t="s">
        <v>52</v>
      </c>
      <c r="C13" s="228" t="s">
        <v>46</v>
      </c>
      <c r="D13" s="229">
        <v>2300</v>
      </c>
      <c r="E13" s="135">
        <f t="shared" si="12"/>
        <v>0.5</v>
      </c>
      <c r="F13" s="136">
        <f>+pronostico!G12*50%</f>
        <v>41137.419222659461</v>
      </c>
      <c r="G13" s="137">
        <f t="shared" si="13"/>
        <v>94616064.212116763</v>
      </c>
      <c r="H13" s="138">
        <f t="shared" si="13"/>
        <v>47308032.106058381</v>
      </c>
      <c r="I13" s="137">
        <f t="shared" si="14"/>
        <v>20568.70961132973</v>
      </c>
      <c r="J13" s="139">
        <f t="shared" si="15"/>
        <v>12341.225766797837</v>
      </c>
      <c r="K13" s="167">
        <f t="shared" si="0"/>
        <v>4113.7419222659464</v>
      </c>
      <c r="L13" s="168">
        <f t="shared" si="1"/>
        <v>4113.7419222659464</v>
      </c>
      <c r="M13" s="169">
        <f>+pronostico!G12*20%</f>
        <v>16454.967689063786</v>
      </c>
      <c r="N13" s="170">
        <f t="shared" si="2"/>
        <v>37846425.684846707</v>
      </c>
      <c r="O13" s="171">
        <f t="shared" si="3"/>
        <v>18923212.842423353</v>
      </c>
      <c r="P13" s="170">
        <f t="shared" si="16"/>
        <v>8227.4838445318928</v>
      </c>
      <c r="Q13" s="172">
        <f t="shared" si="17"/>
        <v>8227.4838445318928</v>
      </c>
      <c r="R13" s="173">
        <f>+pronostico!G12*8%</f>
        <v>6581.9870756255141</v>
      </c>
      <c r="S13" s="174">
        <f t="shared" si="4"/>
        <v>15138570.273938682</v>
      </c>
      <c r="T13" s="175">
        <f t="shared" si="5"/>
        <v>7569285.136969341</v>
      </c>
      <c r="U13" s="173">
        <f>+pronostico!G12*8%</f>
        <v>6581.9870756255141</v>
      </c>
      <c r="V13" s="176">
        <f t="shared" si="6"/>
        <v>15138570.273938682</v>
      </c>
      <c r="W13" s="177">
        <f t="shared" si="7"/>
        <v>7569285.136969341</v>
      </c>
      <c r="X13" s="173">
        <f>+pronostico!G12*2%</f>
        <v>1645.4967689063785</v>
      </c>
      <c r="Y13" s="178">
        <f t="shared" si="8"/>
        <v>3784642.5684846705</v>
      </c>
      <c r="Z13" s="178">
        <f t="shared" si="9"/>
        <v>1892321.2842423352</v>
      </c>
      <c r="AA13" s="173">
        <f>+pronostico!G12*2%</f>
        <v>1645.4967689063785</v>
      </c>
      <c r="AB13" s="179">
        <f t="shared" si="10"/>
        <v>3784642.5684846705</v>
      </c>
      <c r="AC13" s="180">
        <f t="shared" si="11"/>
        <v>1892321.2842423352</v>
      </c>
      <c r="AD13" s="173">
        <f>+pronostico!G12*10%</f>
        <v>8227.4838445318928</v>
      </c>
      <c r="AE13" s="176">
        <f t="shared" si="18"/>
        <v>18923212.842423353</v>
      </c>
      <c r="AF13" s="177">
        <f t="shared" si="18"/>
        <v>9461606.4212116767</v>
      </c>
    </row>
    <row r="14" spans="1:32" x14ac:dyDescent="0.25">
      <c r="A14" s="129">
        <f t="shared" si="19"/>
        <v>100011</v>
      </c>
      <c r="B14" s="93" t="s">
        <v>53</v>
      </c>
      <c r="C14" s="228" t="s">
        <v>46</v>
      </c>
      <c r="D14" s="229">
        <v>1260</v>
      </c>
      <c r="E14" s="135">
        <f t="shared" si="12"/>
        <v>0.5</v>
      </c>
      <c r="F14" s="136">
        <f>+pronostico!G13*50%</f>
        <v>26550.589389430326</v>
      </c>
      <c r="G14" s="137">
        <f t="shared" si="13"/>
        <v>33453742.630682211</v>
      </c>
      <c r="H14" s="138">
        <f t="shared" si="13"/>
        <v>16726871.315341106</v>
      </c>
      <c r="I14" s="137">
        <f t="shared" si="14"/>
        <v>13275.294694715163</v>
      </c>
      <c r="J14" s="139">
        <f t="shared" si="15"/>
        <v>7965.1768168290973</v>
      </c>
      <c r="K14" s="167">
        <f t="shared" si="0"/>
        <v>2655.0589389430329</v>
      </c>
      <c r="L14" s="168">
        <f t="shared" si="1"/>
        <v>2655.0589389430329</v>
      </c>
      <c r="M14" s="169">
        <f>+pronostico!G13*20%</f>
        <v>10620.235755772132</v>
      </c>
      <c r="N14" s="170">
        <f t="shared" si="2"/>
        <v>13381497.052272886</v>
      </c>
      <c r="O14" s="171">
        <f t="shared" si="3"/>
        <v>6690748.526136443</v>
      </c>
      <c r="P14" s="170">
        <f t="shared" si="16"/>
        <v>5310.1178778860658</v>
      </c>
      <c r="Q14" s="172">
        <f t="shared" si="17"/>
        <v>5310.1178778860658</v>
      </c>
      <c r="R14" s="173">
        <f>+pronostico!G13*8%</f>
        <v>4248.0943023088521</v>
      </c>
      <c r="S14" s="174">
        <f t="shared" si="4"/>
        <v>5352598.8209091537</v>
      </c>
      <c r="T14" s="175">
        <f t="shared" si="5"/>
        <v>2676299.4104545768</v>
      </c>
      <c r="U14" s="173">
        <f>+pronostico!G13*8%</f>
        <v>4248.0943023088521</v>
      </c>
      <c r="V14" s="176">
        <f t="shared" si="6"/>
        <v>5352598.8209091537</v>
      </c>
      <c r="W14" s="177">
        <f t="shared" si="7"/>
        <v>2676299.4104545768</v>
      </c>
      <c r="X14" s="173">
        <f>+pronostico!G13*2%</f>
        <v>1062.023575577213</v>
      </c>
      <c r="Y14" s="178">
        <f t="shared" si="8"/>
        <v>1338149.7052272884</v>
      </c>
      <c r="Z14" s="178">
        <f t="shared" si="9"/>
        <v>669074.85261364421</v>
      </c>
      <c r="AA14" s="173">
        <f>+pronostico!G13*2%</f>
        <v>1062.023575577213</v>
      </c>
      <c r="AB14" s="179">
        <f t="shared" si="10"/>
        <v>1338149.7052272884</v>
      </c>
      <c r="AC14" s="180">
        <f t="shared" si="11"/>
        <v>669074.85261364421</v>
      </c>
      <c r="AD14" s="173">
        <f>+pronostico!G13*10%</f>
        <v>5310.1178778860658</v>
      </c>
      <c r="AE14" s="176">
        <f t="shared" si="18"/>
        <v>6690748.526136443</v>
      </c>
      <c r="AF14" s="177">
        <f t="shared" si="18"/>
        <v>3345374.2630682215</v>
      </c>
    </row>
    <row r="15" spans="1:32" x14ac:dyDescent="0.25">
      <c r="A15" s="129">
        <f t="shared" si="19"/>
        <v>100012</v>
      </c>
      <c r="B15" s="93" t="s">
        <v>55</v>
      </c>
      <c r="C15" s="228" t="s">
        <v>46</v>
      </c>
      <c r="D15" s="229">
        <v>1260</v>
      </c>
      <c r="E15" s="135">
        <f t="shared" si="12"/>
        <v>0.5</v>
      </c>
      <c r="F15" s="136">
        <f>+pronostico!G14*50%</f>
        <v>20831.016639032547</v>
      </c>
      <c r="G15" s="137">
        <f t="shared" si="13"/>
        <v>26247080.965181008</v>
      </c>
      <c r="H15" s="138">
        <f t="shared" si="13"/>
        <v>13123540.482590504</v>
      </c>
      <c r="I15" s="137">
        <f t="shared" si="14"/>
        <v>10415.508319516273</v>
      </c>
      <c r="J15" s="139">
        <f t="shared" si="15"/>
        <v>6249.3049917097642</v>
      </c>
      <c r="K15" s="167">
        <f t="shared" si="0"/>
        <v>2083.1016639032546</v>
      </c>
      <c r="L15" s="168">
        <f t="shared" si="1"/>
        <v>2083.1016639032546</v>
      </c>
      <c r="M15" s="169">
        <f>+pronostico!G14*20%</f>
        <v>8332.4066556130183</v>
      </c>
      <c r="N15" s="170">
        <f t="shared" si="2"/>
        <v>10498832.386072403</v>
      </c>
      <c r="O15" s="171">
        <f t="shared" si="3"/>
        <v>5249416.1930362014</v>
      </c>
      <c r="P15" s="170">
        <f t="shared" si="16"/>
        <v>4166.2033278065092</v>
      </c>
      <c r="Q15" s="172">
        <f t="shared" si="17"/>
        <v>4166.2033278065092</v>
      </c>
      <c r="R15" s="173">
        <f>+pronostico!G14*8%</f>
        <v>3332.9626622452074</v>
      </c>
      <c r="S15" s="174">
        <f t="shared" si="4"/>
        <v>4199532.9544289615</v>
      </c>
      <c r="T15" s="175">
        <f t="shared" si="5"/>
        <v>2099766.4772144808</v>
      </c>
      <c r="U15" s="173">
        <f>+pronostico!G14*8%</f>
        <v>3332.9626622452074</v>
      </c>
      <c r="V15" s="176">
        <f t="shared" si="6"/>
        <v>4199532.9544289615</v>
      </c>
      <c r="W15" s="177">
        <f t="shared" si="7"/>
        <v>2099766.4772144808</v>
      </c>
      <c r="X15" s="173">
        <f>+pronostico!G14*2%</f>
        <v>833.24066556130185</v>
      </c>
      <c r="Y15" s="178">
        <f t="shared" si="8"/>
        <v>1049883.2386072404</v>
      </c>
      <c r="Z15" s="178">
        <f t="shared" si="9"/>
        <v>524941.61930362019</v>
      </c>
      <c r="AA15" s="173">
        <f>+pronostico!G14*2%</f>
        <v>833.24066556130185</v>
      </c>
      <c r="AB15" s="179">
        <f t="shared" si="10"/>
        <v>1049883.2386072404</v>
      </c>
      <c r="AC15" s="180">
        <f t="shared" si="11"/>
        <v>524941.61930362019</v>
      </c>
      <c r="AD15" s="173">
        <f>+pronostico!G14*10%</f>
        <v>4166.2033278065092</v>
      </c>
      <c r="AE15" s="176">
        <f t="shared" si="18"/>
        <v>5249416.1930362014</v>
      </c>
      <c r="AF15" s="177">
        <f t="shared" si="18"/>
        <v>2624708.0965181007</v>
      </c>
    </row>
    <row r="16" spans="1:32" x14ac:dyDescent="0.25">
      <c r="A16" s="129">
        <f t="shared" si="19"/>
        <v>100013</v>
      </c>
      <c r="B16" s="93" t="s">
        <v>57</v>
      </c>
      <c r="C16" s="228" t="s">
        <v>46</v>
      </c>
      <c r="D16" s="229">
        <v>2710</v>
      </c>
      <c r="E16" s="135">
        <f t="shared" si="12"/>
        <v>0.5</v>
      </c>
      <c r="F16" s="136">
        <f>+pronostico!G15*50%</f>
        <v>30453.206143057421</v>
      </c>
      <c r="G16" s="137">
        <f t="shared" si="13"/>
        <v>82528188.647685617</v>
      </c>
      <c r="H16" s="138">
        <f t="shared" si="13"/>
        <v>41264094.323842809</v>
      </c>
      <c r="I16" s="137">
        <f t="shared" si="14"/>
        <v>15226.603071528711</v>
      </c>
      <c r="J16" s="139">
        <f t="shared" si="15"/>
        <v>9135.961842917226</v>
      </c>
      <c r="K16" s="167">
        <f t="shared" si="0"/>
        <v>3045.3206143057423</v>
      </c>
      <c r="L16" s="168">
        <f t="shared" si="1"/>
        <v>3045.3206143057423</v>
      </c>
      <c r="M16" s="169">
        <f>+pronostico!G15*20%</f>
        <v>12181.282457222969</v>
      </c>
      <c r="N16" s="170">
        <f t="shared" si="2"/>
        <v>33011275.459074248</v>
      </c>
      <c r="O16" s="171">
        <f t="shared" si="3"/>
        <v>16505637.729537124</v>
      </c>
      <c r="P16" s="170">
        <f t="shared" si="16"/>
        <v>6090.6412286114846</v>
      </c>
      <c r="Q16" s="172">
        <f t="shared" si="17"/>
        <v>6090.6412286114846</v>
      </c>
      <c r="R16" s="173">
        <f>+pronostico!G15*8%</f>
        <v>4872.5129828891877</v>
      </c>
      <c r="S16" s="174">
        <f t="shared" si="4"/>
        <v>13204510.183629699</v>
      </c>
      <c r="T16" s="175">
        <f t="shared" si="5"/>
        <v>6602255.0918148495</v>
      </c>
      <c r="U16" s="173">
        <f>+pronostico!G15*8%</f>
        <v>4872.5129828891877</v>
      </c>
      <c r="V16" s="176">
        <f t="shared" si="6"/>
        <v>13204510.183629699</v>
      </c>
      <c r="W16" s="177">
        <f t="shared" si="7"/>
        <v>6602255.0918148495</v>
      </c>
      <c r="X16" s="173">
        <f>+pronostico!G15*2%</f>
        <v>1218.1282457222969</v>
      </c>
      <c r="Y16" s="178">
        <f t="shared" si="8"/>
        <v>3301127.5459074248</v>
      </c>
      <c r="Z16" s="178">
        <f t="shared" si="9"/>
        <v>1650563.7729537124</v>
      </c>
      <c r="AA16" s="173">
        <f>+pronostico!G15*2%</f>
        <v>1218.1282457222969</v>
      </c>
      <c r="AB16" s="179">
        <f t="shared" si="10"/>
        <v>3301127.5459074248</v>
      </c>
      <c r="AC16" s="180">
        <f t="shared" si="11"/>
        <v>1650563.7729537124</v>
      </c>
      <c r="AD16" s="173">
        <f>+pronostico!G15*10%</f>
        <v>6090.6412286114846</v>
      </c>
      <c r="AE16" s="176">
        <f t="shared" si="18"/>
        <v>16505637.729537124</v>
      </c>
      <c r="AF16" s="177">
        <f t="shared" si="18"/>
        <v>8252818.8647685619</v>
      </c>
    </row>
    <row r="17" spans="1:32" x14ac:dyDescent="0.25">
      <c r="A17" s="129">
        <f t="shared" si="19"/>
        <v>100014</v>
      </c>
      <c r="B17" s="93" t="s">
        <v>59</v>
      </c>
      <c r="C17" s="228" t="s">
        <v>46</v>
      </c>
      <c r="D17" s="229">
        <v>1480</v>
      </c>
      <c r="E17" s="135">
        <f t="shared" si="12"/>
        <v>0.5</v>
      </c>
      <c r="F17" s="136">
        <f>+pronostico!G16*50%</f>
        <v>30005.364876247735</v>
      </c>
      <c r="G17" s="137">
        <f t="shared" si="13"/>
        <v>44407940.016846649</v>
      </c>
      <c r="H17" s="138">
        <f t="shared" si="13"/>
        <v>22203970.008423325</v>
      </c>
      <c r="I17" s="137">
        <f t="shared" si="14"/>
        <v>15002.682438123868</v>
      </c>
      <c r="J17" s="139">
        <f t="shared" si="15"/>
        <v>9001.6094628743194</v>
      </c>
      <c r="K17" s="167">
        <f t="shared" si="0"/>
        <v>3000.5364876247736</v>
      </c>
      <c r="L17" s="168">
        <f t="shared" si="1"/>
        <v>3000.5364876247736</v>
      </c>
      <c r="M17" s="169">
        <f>+pronostico!G16*20%</f>
        <v>12002.145950499094</v>
      </c>
      <c r="N17" s="170">
        <f t="shared" si="2"/>
        <v>17763176.006738659</v>
      </c>
      <c r="O17" s="171">
        <f t="shared" si="3"/>
        <v>8881588.0033693295</v>
      </c>
      <c r="P17" s="170">
        <f t="shared" si="16"/>
        <v>6001.0729752495472</v>
      </c>
      <c r="Q17" s="172">
        <f t="shared" si="17"/>
        <v>6001.0729752495472</v>
      </c>
      <c r="R17" s="173">
        <f>+pronostico!G16*8%</f>
        <v>4800.8583801996374</v>
      </c>
      <c r="S17" s="174">
        <f t="shared" si="4"/>
        <v>7105270.402695463</v>
      </c>
      <c r="T17" s="175">
        <f t="shared" si="5"/>
        <v>3552635.2013477315</v>
      </c>
      <c r="U17" s="173">
        <f>+pronostico!G16*8%</f>
        <v>4800.8583801996374</v>
      </c>
      <c r="V17" s="176">
        <f t="shared" si="6"/>
        <v>7105270.402695463</v>
      </c>
      <c r="W17" s="177">
        <f t="shared" si="7"/>
        <v>3552635.2013477315</v>
      </c>
      <c r="X17" s="173">
        <f>+pronostico!G16*2%</f>
        <v>1200.2145950499093</v>
      </c>
      <c r="Y17" s="178">
        <f t="shared" si="8"/>
        <v>1776317.6006738658</v>
      </c>
      <c r="Z17" s="178">
        <f t="shared" si="9"/>
        <v>888158.80033693288</v>
      </c>
      <c r="AA17" s="173">
        <f>+pronostico!G16*2%</f>
        <v>1200.2145950499093</v>
      </c>
      <c r="AB17" s="179">
        <f t="shared" si="10"/>
        <v>1776317.6006738658</v>
      </c>
      <c r="AC17" s="180">
        <f t="shared" si="11"/>
        <v>888158.80033693288</v>
      </c>
      <c r="AD17" s="173">
        <f>+pronostico!G16*10%</f>
        <v>6001.0729752495472</v>
      </c>
      <c r="AE17" s="176">
        <f t="shared" si="18"/>
        <v>8881588.0033693295</v>
      </c>
      <c r="AF17" s="177">
        <f t="shared" si="18"/>
        <v>4440794.0016846647</v>
      </c>
    </row>
    <row r="18" spans="1:32" x14ac:dyDescent="0.25">
      <c r="A18" s="129">
        <f t="shared" si="19"/>
        <v>100015</v>
      </c>
      <c r="B18" s="94" t="s">
        <v>62</v>
      </c>
      <c r="C18" s="232" t="s">
        <v>63</v>
      </c>
      <c r="D18" s="233">
        <v>2360</v>
      </c>
      <c r="E18" s="135">
        <f t="shared" si="12"/>
        <v>0.5</v>
      </c>
      <c r="F18" s="136">
        <f>+pronostico!G17*50%</f>
        <v>82470.02</v>
      </c>
      <c r="G18" s="137">
        <f t="shared" si="13"/>
        <v>194629247.20000002</v>
      </c>
      <c r="H18" s="138">
        <f t="shared" si="13"/>
        <v>97314623.600000009</v>
      </c>
      <c r="I18" s="137">
        <f t="shared" si="14"/>
        <v>41235.01</v>
      </c>
      <c r="J18" s="139">
        <f t="shared" si="15"/>
        <v>24741.006000000001</v>
      </c>
      <c r="K18" s="167">
        <f t="shared" si="0"/>
        <v>8247.0020000000004</v>
      </c>
      <c r="L18" s="168">
        <f t="shared" si="1"/>
        <v>8247.0020000000004</v>
      </c>
      <c r="M18" s="169">
        <f>+pronostico!G17*20%</f>
        <v>32988.008000000002</v>
      </c>
      <c r="N18" s="170">
        <f t="shared" si="2"/>
        <v>77851698.88000001</v>
      </c>
      <c r="O18" s="171">
        <f t="shared" si="3"/>
        <v>38925849.440000005</v>
      </c>
      <c r="P18" s="170">
        <f t="shared" si="16"/>
        <v>16494.004000000001</v>
      </c>
      <c r="Q18" s="172">
        <f t="shared" si="17"/>
        <v>16494.004000000001</v>
      </c>
      <c r="R18" s="173">
        <f>+pronostico!G17*8%</f>
        <v>13195.203200000002</v>
      </c>
      <c r="S18" s="174">
        <f t="shared" si="4"/>
        <v>31140679.552000005</v>
      </c>
      <c r="T18" s="175">
        <f t="shared" si="5"/>
        <v>15570339.776000002</v>
      </c>
      <c r="U18" s="173">
        <f>+pronostico!G17*8%</f>
        <v>13195.203200000002</v>
      </c>
      <c r="V18" s="176">
        <f t="shared" si="6"/>
        <v>31140679.552000005</v>
      </c>
      <c r="W18" s="177">
        <f t="shared" si="7"/>
        <v>15570339.776000002</v>
      </c>
      <c r="X18" s="173">
        <f>+pronostico!G17*2%</f>
        <v>3298.8008000000004</v>
      </c>
      <c r="Y18" s="178">
        <f t="shared" si="8"/>
        <v>7785169.8880000012</v>
      </c>
      <c r="Z18" s="178">
        <f t="shared" si="9"/>
        <v>3892584.9440000006</v>
      </c>
      <c r="AA18" s="173">
        <f>+pronostico!G17*2%</f>
        <v>3298.8008000000004</v>
      </c>
      <c r="AB18" s="179">
        <f t="shared" si="10"/>
        <v>7785169.8880000012</v>
      </c>
      <c r="AC18" s="180">
        <f t="shared" si="11"/>
        <v>3892584.9440000006</v>
      </c>
      <c r="AD18" s="173">
        <f>+pronostico!G17*10%</f>
        <v>16494.004000000001</v>
      </c>
      <c r="AE18" s="176">
        <f t="shared" si="18"/>
        <v>38925849.440000005</v>
      </c>
      <c r="AF18" s="177">
        <f t="shared" si="18"/>
        <v>19462924.720000003</v>
      </c>
    </row>
    <row r="19" spans="1:32" x14ac:dyDescent="0.25">
      <c r="A19" s="129">
        <f t="shared" si="19"/>
        <v>100016</v>
      </c>
      <c r="B19" s="94" t="s">
        <v>65</v>
      </c>
      <c r="C19" s="232" t="s">
        <v>63</v>
      </c>
      <c r="D19" s="233">
        <v>5000</v>
      </c>
      <c r="E19" s="135">
        <f t="shared" si="12"/>
        <v>0.4</v>
      </c>
      <c r="F19" s="136">
        <f>+pronostico!G18*50%</f>
        <v>19255.02</v>
      </c>
      <c r="G19" s="137">
        <f t="shared" si="13"/>
        <v>96275100</v>
      </c>
      <c r="H19" s="138">
        <f t="shared" si="13"/>
        <v>38510040</v>
      </c>
      <c r="I19" s="137">
        <f>+F19*60%</f>
        <v>11553.012000000001</v>
      </c>
      <c r="J19" s="139">
        <f t="shared" si="15"/>
        <v>5776.5060000000003</v>
      </c>
      <c r="K19" s="167">
        <f t="shared" si="0"/>
        <v>1925.5020000000002</v>
      </c>
      <c r="L19" s="168" t="s">
        <v>21</v>
      </c>
      <c r="M19" s="169">
        <f>+pronostico!G18*20%</f>
        <v>7702.0080000000007</v>
      </c>
      <c r="N19" s="170">
        <f t="shared" si="2"/>
        <v>38510040</v>
      </c>
      <c r="O19" s="171">
        <f t="shared" si="3"/>
        <v>15404016</v>
      </c>
      <c r="P19" s="170">
        <f t="shared" si="16"/>
        <v>3851.0040000000004</v>
      </c>
      <c r="Q19" s="172">
        <f t="shared" si="17"/>
        <v>3851.0040000000004</v>
      </c>
      <c r="R19" s="173">
        <f>+pronostico!G18*8%</f>
        <v>3080.8032000000003</v>
      </c>
      <c r="S19" s="174">
        <f t="shared" si="4"/>
        <v>15404016.000000002</v>
      </c>
      <c r="T19" s="175">
        <f t="shared" si="5"/>
        <v>6161606.4000000013</v>
      </c>
      <c r="U19" s="173">
        <f>+pronostico!G18*8%</f>
        <v>3080.8032000000003</v>
      </c>
      <c r="V19" s="176">
        <f t="shared" si="6"/>
        <v>15404016.000000002</v>
      </c>
      <c r="W19" s="177">
        <f t="shared" si="7"/>
        <v>6161606.4000000013</v>
      </c>
      <c r="X19" s="173">
        <f>+pronostico!G18*2%</f>
        <v>770.20080000000007</v>
      </c>
      <c r="Y19" s="178">
        <f t="shared" si="8"/>
        <v>3851004.0000000005</v>
      </c>
      <c r="Z19" s="178">
        <f t="shared" si="9"/>
        <v>1540401.6000000003</v>
      </c>
      <c r="AA19" s="173">
        <f>+pronostico!G18*2%</f>
        <v>770.20080000000007</v>
      </c>
      <c r="AB19" s="179">
        <f t="shared" si="10"/>
        <v>3851004.0000000005</v>
      </c>
      <c r="AC19" s="180">
        <f t="shared" si="11"/>
        <v>1540401.6000000003</v>
      </c>
      <c r="AD19" s="173">
        <f>+pronostico!G18*10%</f>
        <v>3851.0040000000004</v>
      </c>
      <c r="AE19" s="176">
        <f t="shared" si="18"/>
        <v>19255020</v>
      </c>
      <c r="AF19" s="177">
        <f t="shared" si="18"/>
        <v>7702008</v>
      </c>
    </row>
    <row r="20" spans="1:32" x14ac:dyDescent="0.25">
      <c r="A20" s="129">
        <f t="shared" si="19"/>
        <v>100017</v>
      </c>
      <c r="B20" s="94" t="s">
        <v>66</v>
      </c>
      <c r="C20" s="232" t="s">
        <v>63</v>
      </c>
      <c r="D20" s="233">
        <v>3590</v>
      </c>
      <c r="E20" s="135">
        <f t="shared" si="12"/>
        <v>0.4</v>
      </c>
      <c r="F20" s="136">
        <f>+pronostico!G19*50%</f>
        <v>13880.400000000001</v>
      </c>
      <c r="G20" s="137">
        <f t="shared" si="13"/>
        <v>49830636.000000007</v>
      </c>
      <c r="H20" s="138">
        <f t="shared" si="13"/>
        <v>19932254.400000002</v>
      </c>
      <c r="I20" s="137">
        <f t="shared" si="14"/>
        <v>6940.2000000000007</v>
      </c>
      <c r="J20" s="139">
        <f t="shared" si="15"/>
        <v>4164.12</v>
      </c>
      <c r="K20" s="167">
        <f t="shared" si="0"/>
        <v>1388.0400000000002</v>
      </c>
      <c r="L20" s="168">
        <f>+F20*10%</f>
        <v>1388.0400000000002</v>
      </c>
      <c r="M20" s="169">
        <f>+pronostico!G19*20%</f>
        <v>5552.1600000000008</v>
      </c>
      <c r="N20" s="170">
        <f t="shared" si="2"/>
        <v>19932254.400000002</v>
      </c>
      <c r="O20" s="171">
        <f t="shared" si="3"/>
        <v>7972901.7600000016</v>
      </c>
      <c r="P20" s="170">
        <f t="shared" si="16"/>
        <v>2776.0800000000004</v>
      </c>
      <c r="Q20" s="172">
        <f t="shared" si="17"/>
        <v>2776.0800000000004</v>
      </c>
      <c r="R20" s="173">
        <f>+pronostico!G19*8%</f>
        <v>2220.8640000000005</v>
      </c>
      <c r="S20" s="174">
        <f t="shared" si="4"/>
        <v>7972901.7600000016</v>
      </c>
      <c r="T20" s="175">
        <f t="shared" si="5"/>
        <v>3189160.7040000008</v>
      </c>
      <c r="U20" s="173">
        <f>+pronostico!G19*8%</f>
        <v>2220.8640000000005</v>
      </c>
      <c r="V20" s="176">
        <f t="shared" si="6"/>
        <v>7972901.7600000016</v>
      </c>
      <c r="W20" s="177">
        <f t="shared" si="7"/>
        <v>3189160.7040000008</v>
      </c>
      <c r="X20" s="173">
        <f>+pronostico!G19*2%</f>
        <v>555.21600000000012</v>
      </c>
      <c r="Y20" s="178">
        <f t="shared" si="8"/>
        <v>1993225.4400000004</v>
      </c>
      <c r="Z20" s="178">
        <f t="shared" si="9"/>
        <v>797290.17600000021</v>
      </c>
      <c r="AA20" s="173">
        <f>+pronostico!G19*2%</f>
        <v>555.21600000000012</v>
      </c>
      <c r="AB20" s="179">
        <f t="shared" si="10"/>
        <v>1993225.4400000004</v>
      </c>
      <c r="AC20" s="180">
        <f t="shared" si="11"/>
        <v>797290.17600000021</v>
      </c>
      <c r="AD20" s="173">
        <f>+pronostico!G19*10%</f>
        <v>2776.0800000000004</v>
      </c>
      <c r="AE20" s="176">
        <f t="shared" si="18"/>
        <v>9966127.2000000011</v>
      </c>
      <c r="AF20" s="177">
        <f t="shared" si="18"/>
        <v>3986450.8800000008</v>
      </c>
    </row>
    <row r="21" spans="1:32" x14ac:dyDescent="0.25">
      <c r="A21" s="129">
        <f t="shared" si="19"/>
        <v>100018</v>
      </c>
      <c r="B21" s="94" t="s">
        <v>68</v>
      </c>
      <c r="C21" s="232" t="s">
        <v>63</v>
      </c>
      <c r="D21" s="233">
        <v>12330</v>
      </c>
      <c r="E21" s="135">
        <f t="shared" si="12"/>
        <v>0.4</v>
      </c>
      <c r="F21" s="136">
        <f>+pronostico!G20*50%</f>
        <v>13234.800000000001</v>
      </c>
      <c r="G21" s="137">
        <f t="shared" si="13"/>
        <v>163185084</v>
      </c>
      <c r="H21" s="138">
        <f t="shared" si="13"/>
        <v>65274033.600000001</v>
      </c>
      <c r="I21" s="137">
        <f>+F21*60%</f>
        <v>7940.88</v>
      </c>
      <c r="J21" s="139">
        <f t="shared" si="15"/>
        <v>3970.44</v>
      </c>
      <c r="K21" s="167">
        <f t="shared" si="0"/>
        <v>1323.4800000000002</v>
      </c>
      <c r="L21" s="168" t="s">
        <v>21</v>
      </c>
      <c r="M21" s="169">
        <f>+pronostico!G20*20%</f>
        <v>5293.920000000001</v>
      </c>
      <c r="N21" s="170">
        <f t="shared" si="2"/>
        <v>65274033.600000009</v>
      </c>
      <c r="O21" s="171">
        <f t="shared" si="3"/>
        <v>26109613.440000005</v>
      </c>
      <c r="P21" s="170">
        <f t="shared" si="16"/>
        <v>2646.9600000000005</v>
      </c>
      <c r="Q21" s="172">
        <f t="shared" si="17"/>
        <v>2646.9600000000005</v>
      </c>
      <c r="R21" s="173">
        <f>+pronostico!G20*8%</f>
        <v>2117.5680000000002</v>
      </c>
      <c r="S21" s="174">
        <f t="shared" si="4"/>
        <v>26109613.440000001</v>
      </c>
      <c r="T21" s="175">
        <f t="shared" si="5"/>
        <v>10443845.376000002</v>
      </c>
      <c r="U21" s="173">
        <f>+pronostico!G20*8%</f>
        <v>2117.5680000000002</v>
      </c>
      <c r="V21" s="176">
        <f t="shared" si="6"/>
        <v>26109613.440000001</v>
      </c>
      <c r="W21" s="177">
        <f t="shared" si="7"/>
        <v>10443845.376000002</v>
      </c>
      <c r="X21" s="173">
        <f>+pronostico!G20*2%</f>
        <v>529.39200000000005</v>
      </c>
      <c r="Y21" s="178">
        <f t="shared" si="8"/>
        <v>6527403.3600000003</v>
      </c>
      <c r="Z21" s="178">
        <f t="shared" si="9"/>
        <v>2610961.3440000005</v>
      </c>
      <c r="AA21" s="173">
        <f>+pronostico!G20*2%</f>
        <v>529.39200000000005</v>
      </c>
      <c r="AB21" s="179">
        <f t="shared" si="10"/>
        <v>6527403.3600000003</v>
      </c>
      <c r="AC21" s="180">
        <f t="shared" si="11"/>
        <v>2610961.3440000005</v>
      </c>
      <c r="AD21" s="173">
        <f>+pronostico!G20*10%</f>
        <v>2646.9600000000005</v>
      </c>
      <c r="AE21" s="176">
        <f t="shared" ref="AE21:AF36" si="20">+AD21*D21</f>
        <v>32637016.800000004</v>
      </c>
      <c r="AF21" s="177">
        <f t="shared" si="20"/>
        <v>13054806.720000003</v>
      </c>
    </row>
    <row r="22" spans="1:32" x14ac:dyDescent="0.25">
      <c r="A22" s="129">
        <f t="shared" si="19"/>
        <v>100019</v>
      </c>
      <c r="B22" s="94" t="s">
        <v>70</v>
      </c>
      <c r="C22" s="232" t="s">
        <v>63</v>
      </c>
      <c r="D22" s="233">
        <v>7480</v>
      </c>
      <c r="E22" s="135">
        <f t="shared" si="12"/>
        <v>0.4</v>
      </c>
      <c r="F22" s="136">
        <f>+pronostico!G21*50%</f>
        <v>11604.66</v>
      </c>
      <c r="G22" s="137">
        <f t="shared" si="13"/>
        <v>86802856.799999997</v>
      </c>
      <c r="H22" s="138">
        <f t="shared" si="13"/>
        <v>34721142.719999999</v>
      </c>
      <c r="I22" s="137">
        <f t="shared" ref="I22:I51" si="21">+F22*60%</f>
        <v>6962.7959999999994</v>
      </c>
      <c r="J22" s="139">
        <f t="shared" si="15"/>
        <v>3481.3979999999997</v>
      </c>
      <c r="K22" s="167">
        <f t="shared" si="0"/>
        <v>1160.4660000000001</v>
      </c>
      <c r="L22" s="168" t="s">
        <v>21</v>
      </c>
      <c r="M22" s="169">
        <f>+pronostico!G21*20%</f>
        <v>4641.8640000000005</v>
      </c>
      <c r="N22" s="170">
        <f t="shared" si="2"/>
        <v>34721142.720000006</v>
      </c>
      <c r="O22" s="171">
        <f t="shared" si="3"/>
        <v>13888457.088000003</v>
      </c>
      <c r="P22" s="170">
        <f t="shared" si="16"/>
        <v>2320.9320000000002</v>
      </c>
      <c r="Q22" s="172">
        <f t="shared" si="17"/>
        <v>2320.9320000000002</v>
      </c>
      <c r="R22" s="173">
        <f>+pronostico!G21*8%</f>
        <v>1856.7456</v>
      </c>
      <c r="S22" s="174">
        <f t="shared" si="4"/>
        <v>13888457.088</v>
      </c>
      <c r="T22" s="175">
        <f t="shared" si="5"/>
        <v>5555382.8352000006</v>
      </c>
      <c r="U22" s="173">
        <f>+pronostico!G21*8%</f>
        <v>1856.7456</v>
      </c>
      <c r="V22" s="176">
        <f t="shared" si="6"/>
        <v>13888457.088</v>
      </c>
      <c r="W22" s="177">
        <f t="shared" si="7"/>
        <v>5555382.8352000006</v>
      </c>
      <c r="X22" s="173">
        <f>+pronostico!G21*2%</f>
        <v>464.18639999999999</v>
      </c>
      <c r="Y22" s="178">
        <f t="shared" si="8"/>
        <v>3472114.2719999999</v>
      </c>
      <c r="Z22" s="178">
        <f t="shared" si="9"/>
        <v>1388845.7088000001</v>
      </c>
      <c r="AA22" s="173">
        <f>+pronostico!G21*2%</f>
        <v>464.18639999999999</v>
      </c>
      <c r="AB22" s="179">
        <f t="shared" si="10"/>
        <v>3472114.2719999999</v>
      </c>
      <c r="AC22" s="180">
        <f t="shared" si="11"/>
        <v>1388845.7088000001</v>
      </c>
      <c r="AD22" s="173">
        <f>+pronostico!G21*10%</f>
        <v>2320.9320000000002</v>
      </c>
      <c r="AE22" s="176">
        <f t="shared" si="20"/>
        <v>17360571.360000003</v>
      </c>
      <c r="AF22" s="177">
        <f t="shared" si="20"/>
        <v>6944228.5440000016</v>
      </c>
    </row>
    <row r="23" spans="1:32" x14ac:dyDescent="0.25">
      <c r="A23" s="129">
        <f t="shared" si="19"/>
        <v>100020</v>
      </c>
      <c r="B23" s="94" t="s">
        <v>72</v>
      </c>
      <c r="C23" s="232" t="s">
        <v>63</v>
      </c>
      <c r="D23" s="233">
        <v>4100</v>
      </c>
      <c r="E23" s="135">
        <f t="shared" si="12"/>
        <v>0.4</v>
      </c>
      <c r="F23" s="136">
        <f>+pronostico!G22*50%</f>
        <v>7854.8</v>
      </c>
      <c r="G23" s="137">
        <f t="shared" si="13"/>
        <v>32204680</v>
      </c>
      <c r="H23" s="138">
        <f t="shared" si="13"/>
        <v>12881872</v>
      </c>
      <c r="I23" s="137">
        <f t="shared" si="21"/>
        <v>4712.88</v>
      </c>
      <c r="J23" s="139">
        <f t="shared" si="15"/>
        <v>2356.44</v>
      </c>
      <c r="K23" s="167">
        <f t="shared" si="0"/>
        <v>785.48</v>
      </c>
      <c r="L23" s="168" t="s">
        <v>21</v>
      </c>
      <c r="M23" s="169">
        <f>+pronostico!G22*20%</f>
        <v>3141.92</v>
      </c>
      <c r="N23" s="170">
        <f t="shared" si="2"/>
        <v>12881872</v>
      </c>
      <c r="O23" s="171">
        <f t="shared" si="3"/>
        <v>5152748.8000000007</v>
      </c>
      <c r="P23" s="170">
        <f t="shared" si="16"/>
        <v>1570.96</v>
      </c>
      <c r="Q23" s="172">
        <f t="shared" si="17"/>
        <v>1570.96</v>
      </c>
      <c r="R23" s="173">
        <f>+pronostico!G22*8%</f>
        <v>1256.768</v>
      </c>
      <c r="S23" s="174">
        <f t="shared" si="4"/>
        <v>5152748.8</v>
      </c>
      <c r="T23" s="175">
        <f t="shared" si="5"/>
        <v>2061099.52</v>
      </c>
      <c r="U23" s="173">
        <f>+pronostico!G22*8%</f>
        <v>1256.768</v>
      </c>
      <c r="V23" s="176">
        <f t="shared" si="6"/>
        <v>5152748.8</v>
      </c>
      <c r="W23" s="177">
        <f t="shared" si="7"/>
        <v>2061099.52</v>
      </c>
      <c r="X23" s="173">
        <f>+pronostico!G22*2%</f>
        <v>314.19200000000001</v>
      </c>
      <c r="Y23" s="178">
        <f t="shared" si="8"/>
        <v>1288187.2</v>
      </c>
      <c r="Z23" s="178">
        <f t="shared" si="9"/>
        <v>515274.88</v>
      </c>
      <c r="AA23" s="173">
        <f>+pronostico!G22*2%</f>
        <v>314.19200000000001</v>
      </c>
      <c r="AB23" s="179">
        <f t="shared" si="10"/>
        <v>1288187.2</v>
      </c>
      <c r="AC23" s="180">
        <f t="shared" si="11"/>
        <v>515274.88</v>
      </c>
      <c r="AD23" s="173">
        <f>+pronostico!G22*10%</f>
        <v>1570.96</v>
      </c>
      <c r="AE23" s="176">
        <f t="shared" si="20"/>
        <v>6440936</v>
      </c>
      <c r="AF23" s="177">
        <f t="shared" si="20"/>
        <v>2576374.4000000004</v>
      </c>
    </row>
    <row r="24" spans="1:32" x14ac:dyDescent="0.25">
      <c r="A24" s="129">
        <f t="shared" si="19"/>
        <v>100021</v>
      </c>
      <c r="B24" s="92" t="s">
        <v>73</v>
      </c>
      <c r="C24" s="230" t="s">
        <v>75</v>
      </c>
      <c r="D24" s="231">
        <v>3300</v>
      </c>
      <c r="E24" s="135">
        <f t="shared" si="12"/>
        <v>0.5</v>
      </c>
      <c r="F24" s="136">
        <f>+pronostico!G23*50%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+pronostico!G23*20%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+pronostico!G23*8%</f>
        <v>2000</v>
      </c>
      <c r="S24" s="174">
        <f t="shared" si="4"/>
        <v>6600000</v>
      </c>
      <c r="T24" s="175">
        <f t="shared" si="5"/>
        <v>3300000</v>
      </c>
      <c r="U24" s="173">
        <f>+pronostico!G23*8%</f>
        <v>2000</v>
      </c>
      <c r="V24" s="176">
        <f t="shared" si="6"/>
        <v>6600000</v>
      </c>
      <c r="W24" s="177">
        <f t="shared" si="7"/>
        <v>3300000</v>
      </c>
      <c r="X24" s="173">
        <f>+pronostico!G23*2%</f>
        <v>500</v>
      </c>
      <c r="Y24" s="178">
        <f t="shared" si="8"/>
        <v>1650000</v>
      </c>
      <c r="Z24" s="178">
        <f t="shared" si="9"/>
        <v>825000</v>
      </c>
      <c r="AA24" s="173">
        <f>+pronostico!G23*2%</f>
        <v>500</v>
      </c>
      <c r="AB24" s="179">
        <f t="shared" si="10"/>
        <v>1650000</v>
      </c>
      <c r="AC24" s="180">
        <f t="shared" si="11"/>
        <v>825000</v>
      </c>
      <c r="AD24" s="173">
        <f>+pronostico!G23*10%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230" t="s">
        <v>75</v>
      </c>
      <c r="D25" s="231">
        <v>3000</v>
      </c>
      <c r="E25" s="135">
        <f t="shared" si="12"/>
        <v>0.5</v>
      </c>
      <c r="F25" s="136">
        <f>+pronostico!G24*50%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+pronostico!G24*20%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+pronostico!G24*8%</f>
        <v>2400</v>
      </c>
      <c r="S25" s="174">
        <f t="shared" si="4"/>
        <v>7200000</v>
      </c>
      <c r="T25" s="175">
        <f t="shared" si="5"/>
        <v>3600000</v>
      </c>
      <c r="U25" s="173">
        <f>+pronostico!G24*8%</f>
        <v>2400</v>
      </c>
      <c r="V25" s="176">
        <f t="shared" si="6"/>
        <v>7200000</v>
      </c>
      <c r="W25" s="177">
        <f t="shared" si="7"/>
        <v>3600000</v>
      </c>
      <c r="X25" s="173">
        <f>+pronostico!G24*2%</f>
        <v>600</v>
      </c>
      <c r="Y25" s="178">
        <f t="shared" si="8"/>
        <v>1800000</v>
      </c>
      <c r="Z25" s="178">
        <f t="shared" si="9"/>
        <v>900000</v>
      </c>
      <c r="AA25" s="173">
        <f>+pronostico!G24*2%</f>
        <v>600</v>
      </c>
      <c r="AB25" s="179">
        <f t="shared" si="10"/>
        <v>1800000</v>
      </c>
      <c r="AC25" s="180">
        <f t="shared" si="11"/>
        <v>900000</v>
      </c>
      <c r="AD25" s="173">
        <f>+pronostico!G24*10%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230" t="s">
        <v>75</v>
      </c>
      <c r="D26" s="231">
        <v>3800</v>
      </c>
      <c r="E26" s="135">
        <f t="shared" si="12"/>
        <v>0.4</v>
      </c>
      <c r="F26" s="136">
        <f>+pronostico!G25*50%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+pronostico!G25*20%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+pronostico!G25*8%</f>
        <v>3200</v>
      </c>
      <c r="S26" s="174">
        <f t="shared" si="4"/>
        <v>12160000</v>
      </c>
      <c r="T26" s="175">
        <f t="shared" si="5"/>
        <v>4864000</v>
      </c>
      <c r="U26" s="173">
        <f>+pronostico!G25*8%</f>
        <v>3200</v>
      </c>
      <c r="V26" s="176">
        <f t="shared" si="6"/>
        <v>12160000</v>
      </c>
      <c r="W26" s="177">
        <f t="shared" si="7"/>
        <v>4864000</v>
      </c>
      <c r="X26" s="173">
        <f>+pronostico!G25*2%</f>
        <v>800</v>
      </c>
      <c r="Y26" s="178">
        <f t="shared" si="8"/>
        <v>3040000</v>
      </c>
      <c r="Z26" s="178">
        <f t="shared" si="9"/>
        <v>1216000</v>
      </c>
      <c r="AA26" s="173">
        <f>+pronostico!G25*2%</f>
        <v>800</v>
      </c>
      <c r="AB26" s="179">
        <f t="shared" si="10"/>
        <v>3040000</v>
      </c>
      <c r="AC26" s="180">
        <f t="shared" si="11"/>
        <v>1216000</v>
      </c>
      <c r="AD26" s="173">
        <f>+pronostico!G25*10%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230" t="s">
        <v>75</v>
      </c>
      <c r="D27" s="231">
        <v>2300</v>
      </c>
      <c r="E27" s="135">
        <f t="shared" si="12"/>
        <v>0.5</v>
      </c>
      <c r="F27" s="136">
        <f>+pronostico!G26*50%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+pronostico!G26*20%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+pronostico!G26*8%</f>
        <v>4800</v>
      </c>
      <c r="S27" s="174">
        <f t="shared" si="4"/>
        <v>11040000</v>
      </c>
      <c r="T27" s="175">
        <f t="shared" si="5"/>
        <v>5520000</v>
      </c>
      <c r="U27" s="173">
        <f>+pronostico!G26*8%</f>
        <v>4800</v>
      </c>
      <c r="V27" s="176">
        <f t="shared" si="6"/>
        <v>11040000</v>
      </c>
      <c r="W27" s="177">
        <f t="shared" si="7"/>
        <v>5520000</v>
      </c>
      <c r="X27" s="173">
        <f>+pronostico!G26*2%</f>
        <v>1200</v>
      </c>
      <c r="Y27" s="178">
        <f t="shared" si="8"/>
        <v>2760000</v>
      </c>
      <c r="Z27" s="178">
        <f t="shared" si="9"/>
        <v>1380000</v>
      </c>
      <c r="AA27" s="173">
        <f>+pronostico!G26*2%</f>
        <v>1200</v>
      </c>
      <c r="AB27" s="179">
        <f t="shared" si="10"/>
        <v>2760000</v>
      </c>
      <c r="AC27" s="180">
        <f t="shared" si="11"/>
        <v>1380000</v>
      </c>
      <c r="AD27" s="173">
        <f>+pronostico!G26*10%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230" t="s">
        <v>75</v>
      </c>
      <c r="D28" s="231">
        <v>3900</v>
      </c>
      <c r="E28" s="135">
        <f t="shared" si="12"/>
        <v>0.4</v>
      </c>
      <c r="F28" s="136">
        <f>+pronostico!G27*50%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+pronostico!G27*20%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+pronostico!G27*8%</f>
        <v>2400</v>
      </c>
      <c r="S28" s="174">
        <f t="shared" si="4"/>
        <v>9360000</v>
      </c>
      <c r="T28" s="175">
        <f t="shared" si="5"/>
        <v>3744000</v>
      </c>
      <c r="U28" s="173">
        <f>+pronostico!G27*8%</f>
        <v>2400</v>
      </c>
      <c r="V28" s="176">
        <f t="shared" si="6"/>
        <v>9360000</v>
      </c>
      <c r="W28" s="177">
        <f t="shared" si="7"/>
        <v>3744000</v>
      </c>
      <c r="X28" s="173">
        <f>+pronostico!G27*2%</f>
        <v>600</v>
      </c>
      <c r="Y28" s="178">
        <f t="shared" si="8"/>
        <v>2340000</v>
      </c>
      <c r="Z28" s="178">
        <f t="shared" si="9"/>
        <v>936000</v>
      </c>
      <c r="AA28" s="173">
        <f>+pronostico!G27*2%</f>
        <v>600</v>
      </c>
      <c r="AB28" s="179">
        <f t="shared" si="10"/>
        <v>2340000</v>
      </c>
      <c r="AC28" s="180">
        <f t="shared" si="11"/>
        <v>936000</v>
      </c>
      <c r="AD28" s="173">
        <f>+pronostico!G27*10%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230" t="s">
        <v>75</v>
      </c>
      <c r="D29" s="231">
        <v>3000</v>
      </c>
      <c r="E29" s="135">
        <f t="shared" si="12"/>
        <v>0.5</v>
      </c>
      <c r="F29" s="136">
        <f>+pronostico!G28*50%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+pronostico!G28*20%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+pronostico!G28*8%</f>
        <v>5200</v>
      </c>
      <c r="S29" s="174">
        <f t="shared" si="4"/>
        <v>15600000</v>
      </c>
      <c r="T29" s="175">
        <f t="shared" si="5"/>
        <v>7800000</v>
      </c>
      <c r="U29" s="173">
        <f>+pronostico!G28*8%</f>
        <v>5200</v>
      </c>
      <c r="V29" s="176">
        <f t="shared" si="6"/>
        <v>15600000</v>
      </c>
      <c r="W29" s="177">
        <f t="shared" si="7"/>
        <v>7800000</v>
      </c>
      <c r="X29" s="173">
        <f>+pronostico!G28*2%</f>
        <v>1300</v>
      </c>
      <c r="Y29" s="178">
        <f t="shared" si="8"/>
        <v>3900000</v>
      </c>
      <c r="Z29" s="178">
        <f t="shared" si="9"/>
        <v>1950000</v>
      </c>
      <c r="AA29" s="173">
        <f>+pronostico!G28*2%</f>
        <v>1300</v>
      </c>
      <c r="AB29" s="179">
        <f t="shared" si="10"/>
        <v>3900000</v>
      </c>
      <c r="AC29" s="180">
        <f t="shared" si="11"/>
        <v>1950000</v>
      </c>
      <c r="AD29" s="173">
        <f>+pronostico!G28*10%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230" t="s">
        <v>75</v>
      </c>
      <c r="D30" s="231">
        <v>4100</v>
      </c>
      <c r="E30" s="135">
        <f t="shared" si="12"/>
        <v>0.4</v>
      </c>
      <c r="F30" s="136">
        <f>+pronostico!G29*50%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+pronostico!G29*20%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+pronostico!G29*8%</f>
        <v>2000</v>
      </c>
      <c r="S30" s="174">
        <f t="shared" si="4"/>
        <v>8200000</v>
      </c>
      <c r="T30" s="175">
        <f t="shared" si="5"/>
        <v>3280000</v>
      </c>
      <c r="U30" s="173">
        <f>+pronostico!G29*8%</f>
        <v>2000</v>
      </c>
      <c r="V30" s="176">
        <f t="shared" si="6"/>
        <v>8200000</v>
      </c>
      <c r="W30" s="177">
        <f t="shared" si="7"/>
        <v>3280000</v>
      </c>
      <c r="X30" s="173">
        <f>+pronostico!G29*2%</f>
        <v>500</v>
      </c>
      <c r="Y30" s="178">
        <f t="shared" si="8"/>
        <v>2050000</v>
      </c>
      <c r="Z30" s="178">
        <f t="shared" si="9"/>
        <v>820000</v>
      </c>
      <c r="AA30" s="173">
        <f>+pronostico!G29*2%</f>
        <v>500</v>
      </c>
      <c r="AB30" s="179">
        <f t="shared" si="10"/>
        <v>2050000</v>
      </c>
      <c r="AC30" s="180">
        <f t="shared" si="11"/>
        <v>820000</v>
      </c>
      <c r="AD30" s="173">
        <f>+pronostico!G29*10%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234" t="s">
        <v>88</v>
      </c>
      <c r="D31" s="235">
        <v>2350</v>
      </c>
      <c r="E31" s="135">
        <f t="shared" si="12"/>
        <v>0.5</v>
      </c>
      <c r="F31" s="136">
        <f>+pronostico!G30*50%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+pronostico!G30*20%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+pronostico!G30*8%</f>
        <v>2000</v>
      </c>
      <c r="S31" s="174">
        <f t="shared" si="4"/>
        <v>4700000</v>
      </c>
      <c r="T31" s="175">
        <f t="shared" si="5"/>
        <v>2350000</v>
      </c>
      <c r="U31" s="173">
        <f>+pronostico!G30*8%</f>
        <v>2000</v>
      </c>
      <c r="V31" s="176">
        <f t="shared" si="6"/>
        <v>4700000</v>
      </c>
      <c r="W31" s="177">
        <f t="shared" si="7"/>
        <v>2350000</v>
      </c>
      <c r="X31" s="173">
        <f>+pronostico!G30*2%</f>
        <v>500</v>
      </c>
      <c r="Y31" s="178">
        <f t="shared" si="8"/>
        <v>1175000</v>
      </c>
      <c r="Z31" s="178">
        <f t="shared" si="9"/>
        <v>587500</v>
      </c>
      <c r="AA31" s="173">
        <f>+pronostico!G30*2%</f>
        <v>500</v>
      </c>
      <c r="AB31" s="179">
        <f t="shared" si="10"/>
        <v>1175000</v>
      </c>
      <c r="AC31" s="180">
        <f t="shared" si="11"/>
        <v>587500</v>
      </c>
      <c r="AD31" s="173">
        <f>+pronostico!G30*10%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234" t="s">
        <v>88</v>
      </c>
      <c r="D32" s="235">
        <v>3000</v>
      </c>
      <c r="E32" s="135">
        <f t="shared" si="12"/>
        <v>0.5</v>
      </c>
      <c r="F32" s="136">
        <f>+pronostico!G31*50%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+pronostico!G31*20%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+pronostico!G31*8%</f>
        <v>1600</v>
      </c>
      <c r="S32" s="174">
        <f t="shared" si="4"/>
        <v>4800000</v>
      </c>
      <c r="T32" s="175">
        <f t="shared" si="5"/>
        <v>2400000</v>
      </c>
      <c r="U32" s="173">
        <f>+pronostico!G31*8%</f>
        <v>1600</v>
      </c>
      <c r="V32" s="176">
        <f t="shared" si="6"/>
        <v>4800000</v>
      </c>
      <c r="W32" s="177">
        <f t="shared" si="7"/>
        <v>2400000</v>
      </c>
      <c r="X32" s="173">
        <f>+pronostico!G31*2%</f>
        <v>400</v>
      </c>
      <c r="Y32" s="178">
        <f t="shared" si="8"/>
        <v>1200000</v>
      </c>
      <c r="Z32" s="178">
        <f t="shared" si="9"/>
        <v>600000</v>
      </c>
      <c r="AA32" s="173">
        <f>+pronostico!G31*2%</f>
        <v>400</v>
      </c>
      <c r="AB32" s="179">
        <f t="shared" si="10"/>
        <v>1200000</v>
      </c>
      <c r="AC32" s="180">
        <f t="shared" si="11"/>
        <v>600000</v>
      </c>
      <c r="AD32" s="173">
        <f>+pronostico!G31*10%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234" t="s">
        <v>88</v>
      </c>
      <c r="D33" s="235">
        <v>2300</v>
      </c>
      <c r="E33" s="135">
        <f t="shared" si="12"/>
        <v>0.5</v>
      </c>
      <c r="F33" s="136">
        <f>+pronostico!G32*50%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+pronostico!G32*20%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+pronostico!G32*8%</f>
        <v>1200</v>
      </c>
      <c r="S33" s="174">
        <f t="shared" si="4"/>
        <v>2760000</v>
      </c>
      <c r="T33" s="175">
        <f t="shared" si="5"/>
        <v>1380000</v>
      </c>
      <c r="U33" s="173">
        <f>+pronostico!G32*8%</f>
        <v>1200</v>
      </c>
      <c r="V33" s="176">
        <f t="shared" si="6"/>
        <v>2760000</v>
      </c>
      <c r="W33" s="177">
        <f t="shared" si="7"/>
        <v>1380000</v>
      </c>
      <c r="X33" s="173">
        <f>+pronostico!G32*2%</f>
        <v>300</v>
      </c>
      <c r="Y33" s="178">
        <f t="shared" si="8"/>
        <v>690000</v>
      </c>
      <c r="Z33" s="178">
        <f t="shared" si="9"/>
        <v>345000</v>
      </c>
      <c r="AA33" s="173">
        <f>+pronostico!G32*2%</f>
        <v>300</v>
      </c>
      <c r="AB33" s="179">
        <f t="shared" si="10"/>
        <v>690000</v>
      </c>
      <c r="AC33" s="180">
        <f t="shared" si="11"/>
        <v>345000</v>
      </c>
      <c r="AD33" s="173">
        <f>+pronostico!G32*10%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234" t="s">
        <v>88</v>
      </c>
      <c r="D34" s="235">
        <v>3800</v>
      </c>
      <c r="E34" s="135">
        <f t="shared" si="12"/>
        <v>0.4</v>
      </c>
      <c r="F34" s="136">
        <f>+pronostico!G33*50%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+pronostico!G33*20%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+pronostico!G33*8%</f>
        <v>1600</v>
      </c>
      <c r="S34" s="174">
        <f t="shared" si="4"/>
        <v>6080000</v>
      </c>
      <c r="T34" s="175">
        <f t="shared" si="5"/>
        <v>2432000</v>
      </c>
      <c r="U34" s="173">
        <f>+pronostico!G33*8%</f>
        <v>1600</v>
      </c>
      <c r="V34" s="176">
        <f t="shared" si="6"/>
        <v>6080000</v>
      </c>
      <c r="W34" s="177">
        <f t="shared" si="7"/>
        <v>2432000</v>
      </c>
      <c r="X34" s="173">
        <f>+pronostico!G33*2%</f>
        <v>400</v>
      </c>
      <c r="Y34" s="178">
        <f t="shared" si="8"/>
        <v>1520000</v>
      </c>
      <c r="Z34" s="178">
        <f t="shared" si="9"/>
        <v>608000</v>
      </c>
      <c r="AA34" s="173">
        <f>+pronostico!G33*2%</f>
        <v>400</v>
      </c>
      <c r="AB34" s="179">
        <f t="shared" si="10"/>
        <v>1520000</v>
      </c>
      <c r="AC34" s="180">
        <f t="shared" si="11"/>
        <v>608000</v>
      </c>
      <c r="AD34" s="173">
        <f>+pronostico!G33*10%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234" t="s">
        <v>88</v>
      </c>
      <c r="D35" s="235">
        <v>4000</v>
      </c>
      <c r="E35" s="135">
        <f t="shared" si="12"/>
        <v>0.4</v>
      </c>
      <c r="F35" s="136">
        <f>+pronostico!G34*50%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+pronostico!G34*20%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+pronostico!G34*8%</f>
        <v>1600</v>
      </c>
      <c r="S35" s="174">
        <f t="shared" si="4"/>
        <v>6400000</v>
      </c>
      <c r="T35" s="175">
        <f t="shared" si="5"/>
        <v>2560000</v>
      </c>
      <c r="U35" s="173">
        <f>+pronostico!G34*8%</f>
        <v>1600</v>
      </c>
      <c r="V35" s="176">
        <f t="shared" si="6"/>
        <v>6400000</v>
      </c>
      <c r="W35" s="177">
        <f t="shared" si="7"/>
        <v>2560000</v>
      </c>
      <c r="X35" s="173">
        <f>+pronostico!G34*2%</f>
        <v>400</v>
      </c>
      <c r="Y35" s="178">
        <f t="shared" si="8"/>
        <v>1600000</v>
      </c>
      <c r="Z35" s="178">
        <f t="shared" si="9"/>
        <v>640000</v>
      </c>
      <c r="AA35" s="173">
        <f>+pronostico!G34*2%</f>
        <v>400</v>
      </c>
      <c r="AB35" s="179">
        <f t="shared" si="10"/>
        <v>1600000</v>
      </c>
      <c r="AC35" s="180">
        <f t="shared" si="11"/>
        <v>640000</v>
      </c>
      <c r="AD35" s="173">
        <f>+pronostico!G34*10%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234" t="s">
        <v>97</v>
      </c>
      <c r="D36" s="235">
        <v>1910</v>
      </c>
      <c r="E36" s="135">
        <f t="shared" si="12"/>
        <v>0.5</v>
      </c>
      <c r="F36" s="136">
        <f>+pronostico!G35*50%</f>
        <v>136544.5</v>
      </c>
      <c r="G36" s="137">
        <f t="shared" si="13"/>
        <v>260799995</v>
      </c>
      <c r="H36" s="138">
        <f t="shared" si="13"/>
        <v>130399997.5</v>
      </c>
      <c r="I36" s="137">
        <f t="shared" si="21"/>
        <v>81926.7</v>
      </c>
      <c r="J36" s="139">
        <f t="shared" si="15"/>
        <v>40963.35</v>
      </c>
      <c r="K36" s="167">
        <f t="shared" si="0"/>
        <v>13654.45</v>
      </c>
      <c r="L36" s="168" t="s">
        <v>21</v>
      </c>
      <c r="M36" s="169">
        <f>+pronostico!G35*20%</f>
        <v>54617.8</v>
      </c>
      <c r="N36" s="170">
        <f t="shared" si="2"/>
        <v>104319998</v>
      </c>
      <c r="O36" s="171">
        <f t="shared" si="3"/>
        <v>52159999</v>
      </c>
      <c r="P36" s="170">
        <f t="shared" si="16"/>
        <v>27308.9</v>
      </c>
      <c r="Q36" s="172">
        <f t="shared" si="17"/>
        <v>27308.9</v>
      </c>
      <c r="R36" s="173">
        <f>+pronostico!G35*8%</f>
        <v>21847.119999999999</v>
      </c>
      <c r="S36" s="174">
        <f t="shared" si="4"/>
        <v>41727999.199999996</v>
      </c>
      <c r="T36" s="175">
        <f t="shared" si="5"/>
        <v>20863999.599999998</v>
      </c>
      <c r="U36" s="173">
        <f>+pronostico!G35*8%</f>
        <v>21847.119999999999</v>
      </c>
      <c r="V36" s="176">
        <v>0</v>
      </c>
      <c r="W36" s="177">
        <f t="shared" ref="W36:W51" si="22">V36*E36</f>
        <v>0</v>
      </c>
      <c r="X36" s="173">
        <f>+pronostico!G35*2%</f>
        <v>5461.78</v>
      </c>
      <c r="Y36" s="178">
        <f t="shared" si="8"/>
        <v>10431999.799999999</v>
      </c>
      <c r="Z36" s="178">
        <f t="shared" si="9"/>
        <v>5215999.8999999994</v>
      </c>
      <c r="AA36" s="173">
        <f>+pronostico!G35*2%</f>
        <v>5461.78</v>
      </c>
      <c r="AB36" s="179">
        <f t="shared" si="10"/>
        <v>10431999.799999999</v>
      </c>
      <c r="AC36" s="180">
        <f t="shared" si="11"/>
        <v>5215999.8999999994</v>
      </c>
      <c r="AD36" s="173">
        <f>+pronostico!G35*10%</f>
        <v>27308.9</v>
      </c>
      <c r="AE36" s="176">
        <f t="shared" si="20"/>
        <v>52159999</v>
      </c>
      <c r="AF36" s="177">
        <f t="shared" si="20"/>
        <v>26079999.5</v>
      </c>
    </row>
    <row r="37" spans="1:32" x14ac:dyDescent="0.25">
      <c r="A37" s="129">
        <f t="shared" si="19"/>
        <v>100034</v>
      </c>
      <c r="B37" s="97" t="s">
        <v>23</v>
      </c>
      <c r="C37" s="234" t="s">
        <v>97</v>
      </c>
      <c r="D37" s="235">
        <v>2170</v>
      </c>
      <c r="E37" s="135">
        <f t="shared" si="12"/>
        <v>0.5</v>
      </c>
      <c r="F37" s="136">
        <f>+pronostico!G36*50%</f>
        <v>127393</v>
      </c>
      <c r="G37" s="137">
        <f t="shared" si="13"/>
        <v>276442810</v>
      </c>
      <c r="H37" s="138">
        <f t="shared" si="13"/>
        <v>138221405</v>
      </c>
      <c r="I37" s="137">
        <f t="shared" si="21"/>
        <v>76435.8</v>
      </c>
      <c r="J37" s="139">
        <f t="shared" si="15"/>
        <v>38217.9</v>
      </c>
      <c r="K37" s="167">
        <f t="shared" si="0"/>
        <v>12739.300000000001</v>
      </c>
      <c r="L37" s="168" t="s">
        <v>21</v>
      </c>
      <c r="M37" s="169">
        <f>+pronostico!G36*20%</f>
        <v>50957.200000000004</v>
      </c>
      <c r="N37" s="170">
        <f t="shared" si="2"/>
        <v>110577124.00000001</v>
      </c>
      <c r="O37" s="171">
        <f t="shared" si="3"/>
        <v>55288562.000000007</v>
      </c>
      <c r="P37" s="170">
        <f t="shared" si="16"/>
        <v>25478.600000000002</v>
      </c>
      <c r="Q37" s="172">
        <f t="shared" si="17"/>
        <v>25478.600000000002</v>
      </c>
      <c r="R37" s="173">
        <f>+pronostico!G36*8%</f>
        <v>20382.88</v>
      </c>
      <c r="S37" s="174">
        <f t="shared" si="4"/>
        <v>44230849.600000001</v>
      </c>
      <c r="T37" s="175">
        <f t="shared" si="5"/>
        <v>22115424.800000001</v>
      </c>
      <c r="U37" s="173">
        <f>+pronostico!G36*8%</f>
        <v>20382.88</v>
      </c>
      <c r="V37" s="176">
        <v>0</v>
      </c>
      <c r="W37" s="177">
        <f t="shared" si="22"/>
        <v>0</v>
      </c>
      <c r="X37" s="173">
        <f>+pronostico!G36*2%</f>
        <v>5095.72</v>
      </c>
      <c r="Y37" s="178">
        <f t="shared" si="8"/>
        <v>11057712.4</v>
      </c>
      <c r="Z37" s="178">
        <f t="shared" si="9"/>
        <v>5528856.2000000002</v>
      </c>
      <c r="AA37" s="173">
        <f>+pronostico!G36*2%</f>
        <v>5095.72</v>
      </c>
      <c r="AB37" s="179">
        <f t="shared" si="10"/>
        <v>11057712.4</v>
      </c>
      <c r="AC37" s="180">
        <f t="shared" si="11"/>
        <v>5528856.2000000002</v>
      </c>
      <c r="AD37" s="173">
        <f>+pronostico!G36*10%</f>
        <v>25478.600000000002</v>
      </c>
      <c r="AE37" s="176">
        <f t="shared" ref="AE37:AF51" si="23">+AD37*D37</f>
        <v>55288562.000000007</v>
      </c>
      <c r="AF37" s="177">
        <f t="shared" si="23"/>
        <v>27644281.000000004</v>
      </c>
    </row>
    <row r="38" spans="1:32" x14ac:dyDescent="0.25">
      <c r="A38" s="129">
        <f t="shared" si="19"/>
        <v>100035</v>
      </c>
      <c r="B38" s="97" t="s">
        <v>24</v>
      </c>
      <c r="C38" s="234" t="s">
        <v>97</v>
      </c>
      <c r="D38" s="235">
        <v>1670</v>
      </c>
      <c r="E38" s="135">
        <f t="shared" si="12"/>
        <v>0.5</v>
      </c>
      <c r="F38" s="136">
        <f>+pronostico!G37*50%</f>
        <v>101951</v>
      </c>
      <c r="G38" s="137">
        <f t="shared" si="13"/>
        <v>170258170</v>
      </c>
      <c r="H38" s="138">
        <f t="shared" si="13"/>
        <v>85129085</v>
      </c>
      <c r="I38" s="137">
        <f t="shared" si="21"/>
        <v>61170.6</v>
      </c>
      <c r="J38" s="139">
        <f t="shared" si="15"/>
        <v>30585.3</v>
      </c>
      <c r="K38" s="167">
        <f t="shared" si="0"/>
        <v>10195.1</v>
      </c>
      <c r="L38" s="168" t="s">
        <v>21</v>
      </c>
      <c r="M38" s="169">
        <f>+pronostico!G37*20%</f>
        <v>40780.400000000001</v>
      </c>
      <c r="N38" s="170">
        <f t="shared" si="2"/>
        <v>68103268</v>
      </c>
      <c r="O38" s="171">
        <f t="shared" si="3"/>
        <v>34051634</v>
      </c>
      <c r="P38" s="170">
        <f t="shared" si="16"/>
        <v>20390.2</v>
      </c>
      <c r="Q38" s="172">
        <f t="shared" si="17"/>
        <v>20390.2</v>
      </c>
      <c r="R38" s="173">
        <f>+pronostico!G37*8%</f>
        <v>16312.16</v>
      </c>
      <c r="S38" s="174">
        <f t="shared" si="4"/>
        <v>27241307.199999999</v>
      </c>
      <c r="T38" s="175">
        <f t="shared" si="5"/>
        <v>13620653.6</v>
      </c>
      <c r="U38" s="173">
        <f>+pronostico!G37*8%</f>
        <v>16312.16</v>
      </c>
      <c r="V38" s="176">
        <v>0</v>
      </c>
      <c r="W38" s="177">
        <f t="shared" si="22"/>
        <v>0</v>
      </c>
      <c r="X38" s="173">
        <f>+pronostico!G37*2%</f>
        <v>4078.04</v>
      </c>
      <c r="Y38" s="178">
        <f t="shared" si="8"/>
        <v>6810326.7999999998</v>
      </c>
      <c r="Z38" s="178">
        <f t="shared" si="9"/>
        <v>3405163.4</v>
      </c>
      <c r="AA38" s="173">
        <f>+pronostico!G37*2%</f>
        <v>4078.04</v>
      </c>
      <c r="AB38" s="179">
        <f t="shared" si="10"/>
        <v>6810326.7999999998</v>
      </c>
      <c r="AC38" s="180">
        <f t="shared" si="11"/>
        <v>3405163.4</v>
      </c>
      <c r="AD38" s="173">
        <f>+pronostico!G37*10%</f>
        <v>20390.2</v>
      </c>
      <c r="AE38" s="176">
        <f t="shared" si="23"/>
        <v>34051634</v>
      </c>
      <c r="AF38" s="177">
        <f t="shared" si="23"/>
        <v>17025817</v>
      </c>
    </row>
    <row r="39" spans="1:32" x14ac:dyDescent="0.25">
      <c r="A39" s="129">
        <f t="shared" si="19"/>
        <v>100036</v>
      </c>
      <c r="B39" s="97" t="s">
        <v>25</v>
      </c>
      <c r="C39" s="234" t="s">
        <v>97</v>
      </c>
      <c r="D39" s="235">
        <v>1020</v>
      </c>
      <c r="E39" s="135">
        <f t="shared" si="12"/>
        <v>0.5</v>
      </c>
      <c r="F39" s="136">
        <f>+pronostico!G38*50%</f>
        <v>50357</v>
      </c>
      <c r="G39" s="137">
        <f t="shared" si="13"/>
        <v>51364140</v>
      </c>
      <c r="H39" s="138">
        <f t="shared" si="13"/>
        <v>25682070</v>
      </c>
      <c r="I39" s="137">
        <f t="shared" si="21"/>
        <v>30214.199999999997</v>
      </c>
      <c r="J39" s="139">
        <f t="shared" si="15"/>
        <v>15107.099999999999</v>
      </c>
      <c r="K39" s="167">
        <f t="shared" si="0"/>
        <v>5035.7000000000007</v>
      </c>
      <c r="L39" s="168" t="s">
        <v>21</v>
      </c>
      <c r="M39" s="169">
        <f>+pronostico!G38*20%</f>
        <v>20142.800000000003</v>
      </c>
      <c r="N39" s="170">
        <f t="shared" si="2"/>
        <v>20545656.000000004</v>
      </c>
      <c r="O39" s="171">
        <f t="shared" si="3"/>
        <v>10272828.000000002</v>
      </c>
      <c r="P39" s="170">
        <f t="shared" si="16"/>
        <v>10071.400000000001</v>
      </c>
      <c r="Q39" s="172">
        <f t="shared" si="17"/>
        <v>10071.400000000001</v>
      </c>
      <c r="R39" s="173">
        <f>+pronostico!G38*8%</f>
        <v>8057.12</v>
      </c>
      <c r="S39" s="174">
        <f t="shared" si="4"/>
        <v>8218262.3999999994</v>
      </c>
      <c r="T39" s="175">
        <f t="shared" si="5"/>
        <v>4109131.1999999997</v>
      </c>
      <c r="U39" s="173">
        <f>+pronostico!G38*8%</f>
        <v>8057.12</v>
      </c>
      <c r="V39" s="176">
        <v>0</v>
      </c>
      <c r="W39" s="177">
        <f t="shared" si="22"/>
        <v>0</v>
      </c>
      <c r="X39" s="173">
        <f>+pronostico!G38*2%</f>
        <v>2014.28</v>
      </c>
      <c r="Y39" s="178">
        <f t="shared" si="8"/>
        <v>2054565.5999999999</v>
      </c>
      <c r="Z39" s="178">
        <f t="shared" si="9"/>
        <v>1027282.7999999999</v>
      </c>
      <c r="AA39" s="173">
        <f>+pronostico!G38*2%</f>
        <v>2014.28</v>
      </c>
      <c r="AB39" s="179">
        <f t="shared" si="10"/>
        <v>2054565.5999999999</v>
      </c>
      <c r="AC39" s="180">
        <f t="shared" si="11"/>
        <v>1027282.7999999999</v>
      </c>
      <c r="AD39" s="173">
        <f>+pronostico!G38*10%</f>
        <v>10071.400000000001</v>
      </c>
      <c r="AE39" s="176">
        <f t="shared" si="23"/>
        <v>10272828.000000002</v>
      </c>
      <c r="AF39" s="177">
        <f t="shared" si="23"/>
        <v>5136414.0000000009</v>
      </c>
    </row>
    <row r="40" spans="1:32" x14ac:dyDescent="0.25">
      <c r="A40" s="129">
        <f t="shared" si="19"/>
        <v>100037</v>
      </c>
      <c r="B40" s="97" t="s">
        <v>26</v>
      </c>
      <c r="C40" s="234" t="s">
        <v>97</v>
      </c>
      <c r="D40" s="235">
        <v>1430</v>
      </c>
      <c r="E40" s="135">
        <f t="shared" si="12"/>
        <v>0.5</v>
      </c>
      <c r="F40" s="136">
        <f>+pronostico!G39*50%</f>
        <v>55704.5</v>
      </c>
      <c r="G40" s="137">
        <f t="shared" si="13"/>
        <v>79657435</v>
      </c>
      <c r="H40" s="138">
        <f t="shared" si="13"/>
        <v>39828717.5</v>
      </c>
      <c r="I40" s="137">
        <f t="shared" si="21"/>
        <v>33422.699999999997</v>
      </c>
      <c r="J40" s="139">
        <f t="shared" si="15"/>
        <v>16711.349999999999</v>
      </c>
      <c r="K40" s="167">
        <f t="shared" si="0"/>
        <v>5570.4500000000007</v>
      </c>
      <c r="L40" s="168" t="s">
        <v>21</v>
      </c>
      <c r="M40" s="169">
        <f>+pronostico!G39*20%</f>
        <v>22281.800000000003</v>
      </c>
      <c r="N40" s="170">
        <f t="shared" si="2"/>
        <v>31862974.000000004</v>
      </c>
      <c r="O40" s="171">
        <f t="shared" si="3"/>
        <v>15931487.000000002</v>
      </c>
      <c r="P40" s="170">
        <f t="shared" si="16"/>
        <v>11140.900000000001</v>
      </c>
      <c r="Q40" s="172">
        <f t="shared" si="17"/>
        <v>11140.900000000001</v>
      </c>
      <c r="R40" s="173">
        <f>+pronostico!G39*8%</f>
        <v>8912.7199999999993</v>
      </c>
      <c r="S40" s="174">
        <f t="shared" si="4"/>
        <v>12745189.6</v>
      </c>
      <c r="T40" s="175">
        <f t="shared" si="5"/>
        <v>6372594.7999999998</v>
      </c>
      <c r="U40" s="173">
        <f>+pronostico!G39*8%</f>
        <v>8912.7199999999993</v>
      </c>
      <c r="V40" s="176">
        <v>0</v>
      </c>
      <c r="W40" s="177">
        <f t="shared" si="22"/>
        <v>0</v>
      </c>
      <c r="X40" s="173">
        <f>+pronostico!G39*2%</f>
        <v>2228.1799999999998</v>
      </c>
      <c r="Y40" s="178">
        <f t="shared" si="8"/>
        <v>3186297.4</v>
      </c>
      <c r="Z40" s="178">
        <f t="shared" si="9"/>
        <v>1593148.7</v>
      </c>
      <c r="AA40" s="173">
        <f>+pronostico!G39*2%</f>
        <v>2228.1799999999998</v>
      </c>
      <c r="AB40" s="179">
        <f t="shared" si="10"/>
        <v>3186297.4</v>
      </c>
      <c r="AC40" s="180">
        <f t="shared" si="11"/>
        <v>1593148.7</v>
      </c>
      <c r="AD40" s="173">
        <f>+pronostico!G39*10%</f>
        <v>11140.900000000001</v>
      </c>
      <c r="AE40" s="176">
        <f t="shared" si="23"/>
        <v>15931487.000000002</v>
      </c>
      <c r="AF40" s="177">
        <f t="shared" si="23"/>
        <v>7965743.5000000009</v>
      </c>
    </row>
    <row r="41" spans="1:32" x14ac:dyDescent="0.25">
      <c r="A41" s="129">
        <f t="shared" si="19"/>
        <v>100038</v>
      </c>
      <c r="B41" s="97" t="s">
        <v>27</v>
      </c>
      <c r="C41" s="234" t="s">
        <v>97</v>
      </c>
      <c r="D41" s="235">
        <v>13260</v>
      </c>
      <c r="E41" s="135">
        <f t="shared" si="12"/>
        <v>0.4</v>
      </c>
      <c r="F41" s="136">
        <f>+pronostico!G40*50%</f>
        <v>46391.5</v>
      </c>
      <c r="G41" s="137">
        <f t="shared" si="13"/>
        <v>615151290</v>
      </c>
      <c r="H41" s="138">
        <f t="shared" si="13"/>
        <v>246060516</v>
      </c>
      <c r="I41" s="137">
        <f t="shared" si="21"/>
        <v>27834.899999999998</v>
      </c>
      <c r="J41" s="139">
        <f t="shared" si="15"/>
        <v>13917.449999999999</v>
      </c>
      <c r="K41" s="167">
        <f t="shared" si="0"/>
        <v>4639.1500000000005</v>
      </c>
      <c r="L41" s="168" t="s">
        <v>21</v>
      </c>
      <c r="M41" s="169">
        <f>+pronostico!G40*20%</f>
        <v>18556.600000000002</v>
      </c>
      <c r="N41" s="170">
        <f t="shared" si="2"/>
        <v>246060516.00000003</v>
      </c>
      <c r="O41" s="171">
        <f t="shared" si="3"/>
        <v>98424206.400000021</v>
      </c>
      <c r="P41" s="170">
        <f t="shared" si="16"/>
        <v>9278.3000000000011</v>
      </c>
      <c r="Q41" s="172">
        <f t="shared" si="17"/>
        <v>9278.3000000000011</v>
      </c>
      <c r="R41" s="173">
        <f>+pronostico!G40*8%</f>
        <v>7422.64</v>
      </c>
      <c r="S41" s="174">
        <f t="shared" si="4"/>
        <v>98424206.400000006</v>
      </c>
      <c r="T41" s="175">
        <f t="shared" si="5"/>
        <v>39369682.560000002</v>
      </c>
      <c r="U41" s="173">
        <f>+pronostico!G40*8%</f>
        <v>7422.64</v>
      </c>
      <c r="V41" s="176">
        <v>0</v>
      </c>
      <c r="W41" s="177">
        <f t="shared" si="22"/>
        <v>0</v>
      </c>
      <c r="X41" s="173">
        <f>+pronostico!G40*2%</f>
        <v>1855.66</v>
      </c>
      <c r="Y41" s="178">
        <f t="shared" si="8"/>
        <v>24606051.600000001</v>
      </c>
      <c r="Z41" s="178">
        <f t="shared" si="9"/>
        <v>9842420.6400000006</v>
      </c>
      <c r="AA41" s="173">
        <f>+pronostico!G40*2%</f>
        <v>1855.66</v>
      </c>
      <c r="AB41" s="179">
        <f t="shared" si="10"/>
        <v>24606051.600000001</v>
      </c>
      <c r="AC41" s="180">
        <f t="shared" si="11"/>
        <v>9842420.6400000006</v>
      </c>
      <c r="AD41" s="173">
        <f>+pronostico!G40*10%</f>
        <v>9278.3000000000011</v>
      </c>
      <c r="AE41" s="176">
        <f t="shared" si="23"/>
        <v>123030258.00000001</v>
      </c>
      <c r="AF41" s="177">
        <f t="shared" si="23"/>
        <v>49212103.20000001</v>
      </c>
    </row>
    <row r="42" spans="1:32" x14ac:dyDescent="0.25">
      <c r="A42" s="129">
        <f t="shared" si="19"/>
        <v>100039</v>
      </c>
      <c r="B42" s="97" t="s">
        <v>28</v>
      </c>
      <c r="C42" s="234" t="s">
        <v>97</v>
      </c>
      <c r="D42" s="235">
        <v>2840</v>
      </c>
      <c r="E42" s="135">
        <f t="shared" si="12"/>
        <v>0.5</v>
      </c>
      <c r="F42" s="136">
        <f>+pronostico!G41*50%</f>
        <v>25770</v>
      </c>
      <c r="G42" s="137">
        <f t="shared" si="13"/>
        <v>73186800</v>
      </c>
      <c r="H42" s="138">
        <f t="shared" si="13"/>
        <v>36593400</v>
      </c>
      <c r="I42" s="137">
        <f t="shared" si="21"/>
        <v>15462</v>
      </c>
      <c r="J42" s="139">
        <f t="shared" si="15"/>
        <v>7731</v>
      </c>
      <c r="K42" s="167">
        <f t="shared" si="0"/>
        <v>2577</v>
      </c>
      <c r="L42" s="168" t="s">
        <v>21</v>
      </c>
      <c r="M42" s="169">
        <f>+pronostico!G41*20%</f>
        <v>10308</v>
      </c>
      <c r="N42" s="170">
        <f t="shared" si="2"/>
        <v>29274720</v>
      </c>
      <c r="O42" s="171">
        <f t="shared" si="3"/>
        <v>14637360</v>
      </c>
      <c r="P42" s="170">
        <f t="shared" si="16"/>
        <v>5154</v>
      </c>
      <c r="Q42" s="172">
        <f t="shared" si="17"/>
        <v>5154</v>
      </c>
      <c r="R42" s="173">
        <f>+pronostico!G41*8%</f>
        <v>4123.2</v>
      </c>
      <c r="S42" s="174">
        <f t="shared" si="4"/>
        <v>11709888</v>
      </c>
      <c r="T42" s="175">
        <f t="shared" si="5"/>
        <v>5854944</v>
      </c>
      <c r="U42" s="173">
        <f>+pronostico!G41*8%</f>
        <v>4123.2</v>
      </c>
      <c r="V42" s="176">
        <v>0</v>
      </c>
      <c r="W42" s="177">
        <f t="shared" si="22"/>
        <v>0</v>
      </c>
      <c r="X42" s="173">
        <f>+pronostico!G41*2%</f>
        <v>1030.8</v>
      </c>
      <c r="Y42" s="178">
        <f t="shared" si="8"/>
        <v>2927472</v>
      </c>
      <c r="Z42" s="178">
        <f t="shared" si="9"/>
        <v>1463736</v>
      </c>
      <c r="AA42" s="173">
        <f>+pronostico!G41*2%</f>
        <v>1030.8</v>
      </c>
      <c r="AB42" s="179">
        <f t="shared" si="10"/>
        <v>2927472</v>
      </c>
      <c r="AC42" s="180">
        <f t="shared" si="11"/>
        <v>1463736</v>
      </c>
      <c r="AD42" s="173">
        <f>+pronostico!G41*10%</f>
        <v>5154</v>
      </c>
      <c r="AE42" s="176">
        <f t="shared" si="23"/>
        <v>14637360</v>
      </c>
      <c r="AF42" s="177">
        <f t="shared" si="23"/>
        <v>7318680</v>
      </c>
    </row>
    <row r="43" spans="1:32" x14ac:dyDescent="0.25">
      <c r="A43" s="129">
        <f t="shared" si="19"/>
        <v>100040</v>
      </c>
      <c r="B43" s="97" t="s">
        <v>29</v>
      </c>
      <c r="C43" s="234" t="s">
        <v>97</v>
      </c>
      <c r="D43" s="235">
        <v>3800</v>
      </c>
      <c r="E43" s="135">
        <f t="shared" si="12"/>
        <v>0.4</v>
      </c>
      <c r="F43" s="136">
        <f>+pronostico!G42*50%</f>
        <v>23247</v>
      </c>
      <c r="G43" s="137">
        <f t="shared" si="13"/>
        <v>88338600</v>
      </c>
      <c r="H43" s="138">
        <f t="shared" si="13"/>
        <v>35335440</v>
      </c>
      <c r="I43" s="137">
        <f t="shared" si="21"/>
        <v>13948.199999999999</v>
      </c>
      <c r="J43" s="139">
        <f t="shared" si="15"/>
        <v>6974.0999999999995</v>
      </c>
      <c r="K43" s="167">
        <f t="shared" si="0"/>
        <v>2324.7000000000003</v>
      </c>
      <c r="L43" s="168" t="s">
        <v>21</v>
      </c>
      <c r="M43" s="169">
        <f>+pronostico!G42*20%</f>
        <v>9298.8000000000011</v>
      </c>
      <c r="N43" s="170">
        <f t="shared" si="2"/>
        <v>35335440.000000007</v>
      </c>
      <c r="O43" s="171">
        <f t="shared" si="3"/>
        <v>14134176.000000004</v>
      </c>
      <c r="P43" s="170">
        <f t="shared" si="16"/>
        <v>4649.4000000000005</v>
      </c>
      <c r="Q43" s="172">
        <f t="shared" si="17"/>
        <v>4649.4000000000005</v>
      </c>
      <c r="R43" s="173">
        <f>+pronostico!G42*8%</f>
        <v>3719.52</v>
      </c>
      <c r="S43" s="174">
        <f t="shared" si="4"/>
        <v>14134176</v>
      </c>
      <c r="T43" s="175">
        <f t="shared" si="5"/>
        <v>5653670.4000000004</v>
      </c>
      <c r="U43" s="173">
        <f>+pronostico!G42*8%</f>
        <v>3719.52</v>
      </c>
      <c r="V43" s="176">
        <v>0</v>
      </c>
      <c r="W43" s="177">
        <f t="shared" si="22"/>
        <v>0</v>
      </c>
      <c r="X43" s="173">
        <f>+pronostico!G42*2%</f>
        <v>929.88</v>
      </c>
      <c r="Y43" s="178">
        <f t="shared" si="8"/>
        <v>3533544</v>
      </c>
      <c r="Z43" s="178">
        <f t="shared" si="9"/>
        <v>1413417.6</v>
      </c>
      <c r="AA43" s="173">
        <f>+pronostico!G42*2%</f>
        <v>929.88</v>
      </c>
      <c r="AB43" s="179">
        <f t="shared" si="10"/>
        <v>3533544</v>
      </c>
      <c r="AC43" s="180">
        <f t="shared" si="11"/>
        <v>1413417.6</v>
      </c>
      <c r="AD43" s="173">
        <f>+pronostico!G42*10%</f>
        <v>4649.4000000000005</v>
      </c>
      <c r="AE43" s="176">
        <f t="shared" si="23"/>
        <v>17667720.000000004</v>
      </c>
      <c r="AF43" s="177">
        <f t="shared" si="23"/>
        <v>7067088.0000000019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+pronostico!G43*50%</f>
        <v>28147.660882252112</v>
      </c>
      <c r="G44" s="137">
        <f t="shared" si="13"/>
        <v>96827953.434947267</v>
      </c>
      <c r="H44" s="138">
        <f t="shared" si="13"/>
        <v>48413976.717473634</v>
      </c>
      <c r="I44" s="137">
        <f t="shared" si="21"/>
        <v>16888.596529351267</v>
      </c>
      <c r="J44" s="139">
        <f t="shared" si="15"/>
        <v>8444.2982646756336</v>
      </c>
      <c r="K44" s="167">
        <f t="shared" si="0"/>
        <v>2814.7660882252112</v>
      </c>
      <c r="L44" s="168" t="s">
        <v>21</v>
      </c>
      <c r="M44" s="169">
        <f>+pronostico!G43*20%</f>
        <v>11259.064352900845</v>
      </c>
      <c r="N44" s="170">
        <f t="shared" si="2"/>
        <v>38731181.373978905</v>
      </c>
      <c r="O44" s="171">
        <f t="shared" si="3"/>
        <v>19365590.686989453</v>
      </c>
      <c r="P44" s="170">
        <f t="shared" si="16"/>
        <v>5629.5321764504224</v>
      </c>
      <c r="Q44" s="172">
        <f t="shared" si="17"/>
        <v>5629.5321764504224</v>
      </c>
      <c r="R44" s="173">
        <f>+pronostico!G43*8%</f>
        <v>4503.6257411603383</v>
      </c>
      <c r="S44" s="174">
        <f t="shared" si="4"/>
        <v>15492472.549591564</v>
      </c>
      <c r="T44" s="175">
        <f t="shared" si="5"/>
        <v>7746236.2747957818</v>
      </c>
      <c r="U44" s="173">
        <f>+pronostico!G43*8%</f>
        <v>4503.6257411603383</v>
      </c>
      <c r="V44" s="176">
        <f t="shared" ref="V44:V51" si="24">U44*D44</f>
        <v>15492472.549591564</v>
      </c>
      <c r="W44" s="177">
        <f t="shared" si="22"/>
        <v>7746236.2747957818</v>
      </c>
      <c r="X44" s="173">
        <f>+pronostico!G43*2%</f>
        <v>1125.9064352900846</v>
      </c>
      <c r="Y44" s="178">
        <f t="shared" si="8"/>
        <v>3873118.1373978909</v>
      </c>
      <c r="Z44" s="178">
        <f t="shared" si="9"/>
        <v>1936559.0686989455</v>
      </c>
      <c r="AA44" s="173">
        <f>+pronostico!G43*2%</f>
        <v>1125.9064352900846</v>
      </c>
      <c r="AB44" s="179">
        <f t="shared" si="10"/>
        <v>3873118.1373978909</v>
      </c>
      <c r="AC44" s="180">
        <f t="shared" si="11"/>
        <v>1936559.0686989455</v>
      </c>
      <c r="AD44" s="173">
        <f>+pronostico!G43*10%</f>
        <v>5629.5321764504224</v>
      </c>
      <c r="AE44" s="176">
        <f t="shared" si="23"/>
        <v>19365590.686989453</v>
      </c>
      <c r="AF44" s="177">
        <f t="shared" si="23"/>
        <v>9682795.3434947263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+pronostico!G44*50%</f>
        <v>32925.068067315377</v>
      </c>
      <c r="G45" s="137">
        <f t="shared" si="13"/>
        <v>67825640.218669683</v>
      </c>
      <c r="H45" s="138">
        <f t="shared" si="13"/>
        <v>33912820.109334841</v>
      </c>
      <c r="I45" s="137">
        <f t="shared" si="21"/>
        <v>19755.040840389225</v>
      </c>
      <c r="J45" s="139">
        <f t="shared" si="15"/>
        <v>9877.5204201946126</v>
      </c>
      <c r="K45" s="167">
        <f t="shared" si="0"/>
        <v>3292.5068067315378</v>
      </c>
      <c r="L45" s="168" t="s">
        <v>21</v>
      </c>
      <c r="M45" s="169">
        <f>+pronostico!G44*20%</f>
        <v>13170.027226926151</v>
      </c>
      <c r="N45" s="170">
        <f t="shared" si="2"/>
        <v>27130256.087467872</v>
      </c>
      <c r="O45" s="171">
        <f t="shared" si="3"/>
        <v>13565128.043733936</v>
      </c>
      <c r="P45" s="170">
        <f t="shared" si="16"/>
        <v>6585.0136134630757</v>
      </c>
      <c r="Q45" s="172">
        <f t="shared" si="17"/>
        <v>6585.0136134630757</v>
      </c>
      <c r="R45" s="173">
        <f>+pronostico!G44*8%</f>
        <v>5268.0108907704607</v>
      </c>
      <c r="S45" s="174">
        <f t="shared" si="4"/>
        <v>10852102.434987148</v>
      </c>
      <c r="T45" s="175">
        <f t="shared" si="5"/>
        <v>5426051.2174935741</v>
      </c>
      <c r="U45" s="173">
        <f>+pronostico!G44*8%</f>
        <v>5268.0108907704607</v>
      </c>
      <c r="V45" s="176">
        <f t="shared" si="24"/>
        <v>10852102.434987148</v>
      </c>
      <c r="W45" s="177">
        <f t="shared" si="22"/>
        <v>5426051.2174935741</v>
      </c>
      <c r="X45" s="173">
        <f>+pronostico!G44*2%</f>
        <v>1317.0027226926152</v>
      </c>
      <c r="Y45" s="178">
        <f t="shared" si="8"/>
        <v>2713025.6087467871</v>
      </c>
      <c r="Z45" s="178">
        <f t="shared" si="9"/>
        <v>1356512.8043733935</v>
      </c>
      <c r="AA45" s="173">
        <f>+pronostico!G44*2%</f>
        <v>1317.0027226926152</v>
      </c>
      <c r="AB45" s="179">
        <f t="shared" si="10"/>
        <v>2713025.6087467871</v>
      </c>
      <c r="AC45" s="180">
        <f t="shared" si="11"/>
        <v>1356512.8043733935</v>
      </c>
      <c r="AD45" s="173">
        <f>+pronostico!G44*10%</f>
        <v>6585.0136134630757</v>
      </c>
      <c r="AE45" s="176">
        <f t="shared" si="23"/>
        <v>13565128.043733936</v>
      </c>
      <c r="AF45" s="177">
        <f t="shared" si="23"/>
        <v>6782564.0218669679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+pronostico!G45*50%</f>
        <v>17004.370969998065</v>
      </c>
      <c r="G46" s="137">
        <f t="shared" si="13"/>
        <v>47782282.425694562</v>
      </c>
      <c r="H46" s="138">
        <f t="shared" si="13"/>
        <v>23891141.212847281</v>
      </c>
      <c r="I46" s="137">
        <f t="shared" si="21"/>
        <v>10202.622581998838</v>
      </c>
      <c r="J46" s="139">
        <f t="shared" si="15"/>
        <v>5101.3112909994188</v>
      </c>
      <c r="K46" s="167">
        <f t="shared" si="0"/>
        <v>1700.4370969998065</v>
      </c>
      <c r="L46" s="168" t="s">
        <v>21</v>
      </c>
      <c r="M46" s="169">
        <f>+pronostico!G45*20%</f>
        <v>6801.748387999226</v>
      </c>
      <c r="N46" s="170">
        <f t="shared" si="2"/>
        <v>19112912.970277824</v>
      </c>
      <c r="O46" s="171">
        <f t="shared" si="3"/>
        <v>9556456.4851389118</v>
      </c>
      <c r="P46" s="170">
        <f t="shared" si="16"/>
        <v>3400.874193999613</v>
      </c>
      <c r="Q46" s="172">
        <f t="shared" si="17"/>
        <v>3400.874193999613</v>
      </c>
      <c r="R46" s="173">
        <f>+pronostico!G45*8%</f>
        <v>2720.6993551996902</v>
      </c>
      <c r="S46" s="174">
        <f t="shared" si="4"/>
        <v>7645165.1881111292</v>
      </c>
      <c r="T46" s="175">
        <f t="shared" si="5"/>
        <v>3822582.5940555646</v>
      </c>
      <c r="U46" s="173">
        <f>+pronostico!G45*8%</f>
        <v>2720.6993551996902</v>
      </c>
      <c r="V46" s="176">
        <f t="shared" si="24"/>
        <v>7645165.1881111292</v>
      </c>
      <c r="W46" s="177">
        <f t="shared" si="22"/>
        <v>3822582.5940555646</v>
      </c>
      <c r="X46" s="173">
        <f>+pronostico!G45*2%</f>
        <v>680.17483879992255</v>
      </c>
      <c r="Y46" s="178">
        <f t="shared" si="8"/>
        <v>1911291.2970277823</v>
      </c>
      <c r="Z46" s="178">
        <f t="shared" si="9"/>
        <v>955645.64851389115</v>
      </c>
      <c r="AA46" s="173">
        <f>+pronostico!G45*2%</f>
        <v>680.17483879992255</v>
      </c>
      <c r="AB46" s="179">
        <f t="shared" si="10"/>
        <v>1911291.2970277823</v>
      </c>
      <c r="AC46" s="180">
        <f t="shared" si="11"/>
        <v>955645.64851389115</v>
      </c>
      <c r="AD46" s="173">
        <f>+pronostico!G45*10%</f>
        <v>3400.874193999613</v>
      </c>
      <c r="AE46" s="176">
        <f t="shared" si="23"/>
        <v>9556456.4851389118</v>
      </c>
      <c r="AF46" s="177">
        <f t="shared" si="23"/>
        <v>4778228.2425694559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+pronostico!G46*50%</f>
        <v>13892.932877615438</v>
      </c>
      <c r="G47" s="137">
        <f t="shared" si="13"/>
        <v>57516742.113327913</v>
      </c>
      <c r="H47" s="138">
        <f t="shared" si="13"/>
        <v>23006696.845331166</v>
      </c>
      <c r="I47" s="137">
        <f t="shared" si="21"/>
        <v>8335.7597265692621</v>
      </c>
      <c r="J47" s="139">
        <f t="shared" si="15"/>
        <v>4167.879863284631</v>
      </c>
      <c r="K47" s="167">
        <f t="shared" si="0"/>
        <v>1389.293287761544</v>
      </c>
      <c r="L47" s="168" t="s">
        <v>21</v>
      </c>
      <c r="M47" s="169">
        <f>+pronostico!G46*20%</f>
        <v>5557.1731510461759</v>
      </c>
      <c r="N47" s="170">
        <f t="shared" si="2"/>
        <v>23006696.84533117</v>
      </c>
      <c r="O47" s="171">
        <f t="shared" si="3"/>
        <v>9202678.7381324675</v>
      </c>
      <c r="P47" s="170">
        <f t="shared" si="16"/>
        <v>2778.586575523088</v>
      </c>
      <c r="Q47" s="172">
        <f t="shared" si="17"/>
        <v>2778.586575523088</v>
      </c>
      <c r="R47" s="173">
        <f>+pronostico!G46*8%</f>
        <v>2222.8692604184703</v>
      </c>
      <c r="S47" s="174">
        <f t="shared" si="4"/>
        <v>9202678.7381324675</v>
      </c>
      <c r="T47" s="175">
        <f t="shared" si="5"/>
        <v>3681071.4952529874</v>
      </c>
      <c r="U47" s="173">
        <f>+pronostico!G46*8%</f>
        <v>2222.8692604184703</v>
      </c>
      <c r="V47" s="176">
        <f t="shared" si="24"/>
        <v>9202678.7381324675</v>
      </c>
      <c r="W47" s="177">
        <f t="shared" si="22"/>
        <v>3681071.4952529874</v>
      </c>
      <c r="X47" s="173">
        <f>+pronostico!G46*2%</f>
        <v>555.71731510461757</v>
      </c>
      <c r="Y47" s="178">
        <f t="shared" si="8"/>
        <v>2300669.6845331169</v>
      </c>
      <c r="Z47" s="178">
        <f t="shared" si="9"/>
        <v>920267.87381324684</v>
      </c>
      <c r="AA47" s="173">
        <f>+pronostico!G46*2%</f>
        <v>555.71731510461757</v>
      </c>
      <c r="AB47" s="179">
        <f t="shared" si="10"/>
        <v>2300669.6845331169</v>
      </c>
      <c r="AC47" s="180">
        <f t="shared" si="11"/>
        <v>920267.87381324684</v>
      </c>
      <c r="AD47" s="173">
        <f>+pronostico!G46*10%</f>
        <v>2778.586575523088</v>
      </c>
      <c r="AE47" s="176">
        <f t="shared" si="23"/>
        <v>11503348.422665585</v>
      </c>
      <c r="AF47" s="177">
        <f t="shared" si="23"/>
        <v>4601339.3690662337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+pronostico!G47*50%</f>
        <v>14167.993697441705</v>
      </c>
      <c r="G48" s="137">
        <f t="shared" si="13"/>
        <v>30461186.449499667</v>
      </c>
      <c r="H48" s="138">
        <f t="shared" si="13"/>
        <v>15230593.224749833</v>
      </c>
      <c r="I48" s="137">
        <f t="shared" si="21"/>
        <v>8500.7962184650223</v>
      </c>
      <c r="J48" s="139">
        <f t="shared" si="15"/>
        <v>4250.3981092325112</v>
      </c>
      <c r="K48" s="167">
        <f t="shared" si="0"/>
        <v>1416.7993697441707</v>
      </c>
      <c r="L48" s="168" t="s">
        <v>21</v>
      </c>
      <c r="M48" s="169">
        <f>+pronostico!G47*20%</f>
        <v>5667.1974789766828</v>
      </c>
      <c r="N48" s="170">
        <f t="shared" si="2"/>
        <v>12184474.579799868</v>
      </c>
      <c r="O48" s="171">
        <f t="shared" si="3"/>
        <v>6092237.2898999341</v>
      </c>
      <c r="P48" s="170">
        <f t="shared" si="16"/>
        <v>2833.5987394883414</v>
      </c>
      <c r="Q48" s="172">
        <f t="shared" si="17"/>
        <v>2833.5987394883414</v>
      </c>
      <c r="R48" s="173">
        <f>+pronostico!G47*8%</f>
        <v>2266.8789915906727</v>
      </c>
      <c r="S48" s="174">
        <f t="shared" si="4"/>
        <v>4873789.8319199467</v>
      </c>
      <c r="T48" s="175">
        <f t="shared" si="5"/>
        <v>2436894.9159599734</v>
      </c>
      <c r="U48" s="173">
        <f>+pronostico!G47*8%</f>
        <v>2266.8789915906727</v>
      </c>
      <c r="V48" s="176">
        <f t="shared" si="24"/>
        <v>4873789.8319199467</v>
      </c>
      <c r="W48" s="177">
        <f t="shared" si="22"/>
        <v>2436894.9159599734</v>
      </c>
      <c r="X48" s="173">
        <f>+pronostico!G47*2%</f>
        <v>566.71974789766819</v>
      </c>
      <c r="Y48" s="178">
        <f t="shared" si="8"/>
        <v>1218447.4579799867</v>
      </c>
      <c r="Z48" s="178">
        <f t="shared" si="9"/>
        <v>609223.72898999334</v>
      </c>
      <c r="AA48" s="173">
        <f>+pronostico!G47*2%</f>
        <v>566.71974789766819</v>
      </c>
      <c r="AB48" s="179">
        <f t="shared" si="10"/>
        <v>1218447.4579799867</v>
      </c>
      <c r="AC48" s="180">
        <f t="shared" si="11"/>
        <v>609223.72898999334</v>
      </c>
      <c r="AD48" s="173">
        <f>+pronostico!G47*10%</f>
        <v>2833.5987394883414</v>
      </c>
      <c r="AE48" s="176">
        <f t="shared" si="23"/>
        <v>6092237.2898999341</v>
      </c>
      <c r="AF48" s="177">
        <f t="shared" si="23"/>
        <v>3046118.644949967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+pronostico!G48*50%</f>
        <v>12156.316267913511</v>
      </c>
      <c r="G49" s="137">
        <f t="shared" si="13"/>
        <v>26136079.976014048</v>
      </c>
      <c r="H49" s="138">
        <f t="shared" si="13"/>
        <v>13068039.988007024</v>
      </c>
      <c r="I49" s="137">
        <f t="shared" si="21"/>
        <v>7293.7897607481063</v>
      </c>
      <c r="J49" s="139">
        <f t="shared" si="15"/>
        <v>3646.8948803740532</v>
      </c>
      <c r="K49" s="167">
        <f t="shared" si="0"/>
        <v>1215.6316267913512</v>
      </c>
      <c r="L49" s="168" t="s">
        <v>21</v>
      </c>
      <c r="M49" s="169">
        <f>+pronostico!G48*20%</f>
        <v>4862.5265071654048</v>
      </c>
      <c r="N49" s="170">
        <f t="shared" si="2"/>
        <v>10454431.990405621</v>
      </c>
      <c r="O49" s="171">
        <f t="shared" si="3"/>
        <v>5227215.9952028105</v>
      </c>
      <c r="P49" s="170">
        <f t="shared" si="16"/>
        <v>2431.2632535827024</v>
      </c>
      <c r="Q49" s="172">
        <f t="shared" si="17"/>
        <v>2431.2632535827024</v>
      </c>
      <c r="R49" s="173">
        <f>+pronostico!G48*8%</f>
        <v>1945.0106028661619</v>
      </c>
      <c r="S49" s="174">
        <f t="shared" si="4"/>
        <v>4181772.7961622481</v>
      </c>
      <c r="T49" s="175">
        <f t="shared" si="5"/>
        <v>2090886.3980811241</v>
      </c>
      <c r="U49" s="173">
        <f>+pronostico!G48*8%</f>
        <v>1945.0106028661619</v>
      </c>
      <c r="V49" s="176">
        <f t="shared" si="24"/>
        <v>4181772.7961622481</v>
      </c>
      <c r="W49" s="177">
        <f t="shared" si="22"/>
        <v>2090886.3980811241</v>
      </c>
      <c r="X49" s="173">
        <f>+pronostico!G48*2%</f>
        <v>486.25265071654047</v>
      </c>
      <c r="Y49" s="178">
        <f t="shared" si="8"/>
        <v>1045443.199040562</v>
      </c>
      <c r="Z49" s="178">
        <f t="shared" si="9"/>
        <v>522721.59952028102</v>
      </c>
      <c r="AA49" s="173">
        <f>+pronostico!G48*2%</f>
        <v>486.25265071654047</v>
      </c>
      <c r="AB49" s="179">
        <f t="shared" si="10"/>
        <v>1045443.199040562</v>
      </c>
      <c r="AC49" s="180">
        <f t="shared" si="11"/>
        <v>522721.59952028102</v>
      </c>
      <c r="AD49" s="173">
        <f>+pronostico!G48*10%</f>
        <v>2431.2632535827024</v>
      </c>
      <c r="AE49" s="176">
        <f t="shared" si="23"/>
        <v>5227215.9952028105</v>
      </c>
      <c r="AF49" s="177">
        <f t="shared" si="23"/>
        <v>2613607.9976014053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+pronostico!G49*50%</f>
        <v>8181.5174872550706</v>
      </c>
      <c r="G50" s="137">
        <f t="shared" si="13"/>
        <v>33380591.348000687</v>
      </c>
      <c r="H50" s="138">
        <f t="shared" si="13"/>
        <v>13352236.539200276</v>
      </c>
      <c r="I50" s="137">
        <f t="shared" si="21"/>
        <v>4908.9104923530422</v>
      </c>
      <c r="J50" s="139">
        <f t="shared" si="15"/>
        <v>2454.4552461765211</v>
      </c>
      <c r="K50" s="167">
        <f t="shared" si="0"/>
        <v>818.1517487255071</v>
      </c>
      <c r="L50" s="168" t="s">
        <v>21</v>
      </c>
      <c r="M50" s="169">
        <f>+pronostico!G49*20%</f>
        <v>3272.6069949020284</v>
      </c>
      <c r="N50" s="170">
        <f t="shared" si="2"/>
        <v>13352236.539200276</v>
      </c>
      <c r="O50" s="171">
        <f t="shared" si="3"/>
        <v>5340894.6156801106</v>
      </c>
      <c r="P50" s="170">
        <f t="shared" si="16"/>
        <v>1636.3034974510142</v>
      </c>
      <c r="Q50" s="172">
        <f t="shared" si="17"/>
        <v>1636.3034974510142</v>
      </c>
      <c r="R50" s="173">
        <f>+pronostico!G49*8%</f>
        <v>1309.0427979608114</v>
      </c>
      <c r="S50" s="174">
        <f t="shared" si="4"/>
        <v>5340894.6156801106</v>
      </c>
      <c r="T50" s="175">
        <f t="shared" si="5"/>
        <v>2136357.8462720443</v>
      </c>
      <c r="U50" s="173">
        <f>+pronostico!G49*8%</f>
        <v>1309.0427979608114</v>
      </c>
      <c r="V50" s="176">
        <f t="shared" si="24"/>
        <v>5340894.6156801106</v>
      </c>
      <c r="W50" s="177">
        <f t="shared" si="22"/>
        <v>2136357.8462720443</v>
      </c>
      <c r="X50" s="173">
        <f>+pronostico!G49*2%</f>
        <v>327.26069949020285</v>
      </c>
      <c r="Y50" s="178">
        <f t="shared" si="8"/>
        <v>1335223.6539200277</v>
      </c>
      <c r="Z50" s="178">
        <f t="shared" si="9"/>
        <v>534089.46156801109</v>
      </c>
      <c r="AA50" s="173">
        <f>+pronostico!G49*2%</f>
        <v>327.26069949020285</v>
      </c>
      <c r="AB50" s="179">
        <f t="shared" si="10"/>
        <v>1335223.6539200277</v>
      </c>
      <c r="AC50" s="180">
        <f t="shared" si="11"/>
        <v>534089.46156801109</v>
      </c>
      <c r="AD50" s="173">
        <f>+pronostico!G49*10%</f>
        <v>1636.3034974510142</v>
      </c>
      <c r="AE50" s="176">
        <f t="shared" si="23"/>
        <v>6676118.2696001381</v>
      </c>
      <c r="AF50" s="177">
        <f t="shared" si="23"/>
        <v>2670447.3078400553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+pronostico!G50*50%</f>
        <v>9696.1094041691085</v>
      </c>
      <c r="G51" s="150">
        <f t="shared" si="13"/>
        <v>53910368.287180245</v>
      </c>
      <c r="H51" s="138">
        <f t="shared" si="13"/>
        <v>21564147.314872101</v>
      </c>
      <c r="I51" s="150">
        <f t="shared" si="21"/>
        <v>5817.6656425014653</v>
      </c>
      <c r="J51" s="151">
        <f t="shared" si="15"/>
        <v>2908.8328212507326</v>
      </c>
      <c r="K51" s="181">
        <f t="shared" si="0"/>
        <v>969.61094041691092</v>
      </c>
      <c r="L51" s="182" t="s">
        <v>21</v>
      </c>
      <c r="M51" s="169">
        <f>+pronostico!G50*20%</f>
        <v>3878.4437616676437</v>
      </c>
      <c r="N51" s="170">
        <f t="shared" si="2"/>
        <v>21564147.314872097</v>
      </c>
      <c r="O51" s="171">
        <f t="shared" si="3"/>
        <v>8625658.9259488396</v>
      </c>
      <c r="P51" s="183">
        <f t="shared" si="16"/>
        <v>1939.2218808338218</v>
      </c>
      <c r="Q51" s="184">
        <f t="shared" si="17"/>
        <v>1939.2218808338218</v>
      </c>
      <c r="R51" s="173">
        <f>+pronostico!G50*8%</f>
        <v>1551.3775046670573</v>
      </c>
      <c r="S51" s="174">
        <f t="shared" si="4"/>
        <v>8625658.9259488396</v>
      </c>
      <c r="T51" s="175">
        <f t="shared" si="5"/>
        <v>3450263.5703795361</v>
      </c>
      <c r="U51" s="173">
        <f>+pronostico!G50*8%</f>
        <v>1551.3775046670573</v>
      </c>
      <c r="V51" s="176">
        <f t="shared" si="24"/>
        <v>8625658.9259488396</v>
      </c>
      <c r="W51" s="177">
        <f t="shared" si="22"/>
        <v>3450263.5703795361</v>
      </c>
      <c r="X51" s="173">
        <f>+pronostico!G50*2%</f>
        <v>387.84437616676433</v>
      </c>
      <c r="Y51" s="178">
        <f t="shared" si="8"/>
        <v>2156414.7314872099</v>
      </c>
      <c r="Z51" s="178">
        <f t="shared" si="9"/>
        <v>862565.89259488403</v>
      </c>
      <c r="AA51" s="173">
        <f>+pronostico!G50*2%</f>
        <v>387.84437616676433</v>
      </c>
      <c r="AB51" s="179">
        <f t="shared" si="10"/>
        <v>2156414.7314872099</v>
      </c>
      <c r="AC51" s="180">
        <f t="shared" si="11"/>
        <v>862565.89259488403</v>
      </c>
      <c r="AD51" s="173">
        <f>+pronostico!G50*10%</f>
        <v>1939.2218808338218</v>
      </c>
      <c r="AE51" s="176">
        <f t="shared" si="23"/>
        <v>10782073.657436049</v>
      </c>
      <c r="AF51" s="177">
        <f t="shared" si="23"/>
        <v>4312829.4629744198</v>
      </c>
    </row>
    <row r="52" spans="1:32" x14ac:dyDescent="0.25">
      <c r="A52" s="152"/>
      <c r="B52" s="354" t="s">
        <v>146</v>
      </c>
      <c r="C52" s="291"/>
      <c r="D52" s="291"/>
      <c r="E52" s="292"/>
      <c r="F52" s="287"/>
      <c r="G52" s="288">
        <f>SUM(G4:G51)</f>
        <v>5209889635.7997141</v>
      </c>
      <c r="H52" s="289">
        <f>SUM(H4:H51)</f>
        <v>2303816616.812583</v>
      </c>
      <c r="I52" s="290"/>
      <c r="J52" s="291"/>
      <c r="K52" s="291"/>
      <c r="L52" s="292"/>
      <c r="M52" s="287"/>
      <c r="N52" s="293">
        <f>SUM(N4:N51)</f>
        <v>2083955854.3198857</v>
      </c>
      <c r="O52" s="294">
        <f>SUM(O4:O51)</f>
        <v>921526646.72503293</v>
      </c>
      <c r="P52" s="290"/>
      <c r="Q52" s="292"/>
      <c r="R52" s="287"/>
      <c r="S52" s="295">
        <f>SUM(S4:S51)</f>
        <v>833582341.72795427</v>
      </c>
      <c r="T52" s="296">
        <f>SUM(T4:T51)</f>
        <v>368610658.69001329</v>
      </c>
      <c r="U52" s="287"/>
      <c r="V52" s="295">
        <f>SUM(V4:V51)</f>
        <v>575150463.32795417</v>
      </c>
      <c r="W52" s="296">
        <f>SUM(W4:W51)</f>
        <v>250650557.73001325</v>
      </c>
      <c r="X52" s="287"/>
      <c r="Y52" s="295">
        <f>SUM(Y4:Y51)</f>
        <v>208395585.43198857</v>
      </c>
      <c r="Z52" s="297">
        <f>SUM(Z4:Z51)</f>
        <v>92152664.672503322</v>
      </c>
      <c r="AA52" s="298"/>
      <c r="AB52" s="295">
        <f>SUM(AB4:AB51)</f>
        <v>208395585.43198857</v>
      </c>
      <c r="AC52" s="299">
        <f>SUM(AC4:AC51)</f>
        <v>92152664.672503322</v>
      </c>
      <c r="AD52" s="298"/>
      <c r="AE52" s="295">
        <f>SUM(AE4:AE51)</f>
        <v>1041977927.1599429</v>
      </c>
      <c r="AF52" s="299">
        <f>SUM(AF4:AF51)</f>
        <v>460763323.36251646</v>
      </c>
    </row>
    <row r="53" spans="1:32" ht="15.75" thickBot="1" x14ac:dyDescent="0.3">
      <c r="A53" s="152"/>
      <c r="B53" s="300" t="s">
        <v>147</v>
      </c>
      <c r="C53" s="304"/>
      <c r="D53" s="304"/>
      <c r="E53" s="306"/>
      <c r="F53" s="300"/>
      <c r="G53" s="301">
        <f>+G52*30%</f>
        <v>1562966890.7399142</v>
      </c>
      <c r="H53" s="302"/>
      <c r="I53" s="303"/>
      <c r="J53" s="304"/>
      <c r="K53" s="305"/>
      <c r="L53" s="306"/>
      <c r="M53" s="300"/>
      <c r="N53" s="307">
        <f>+N52*20%</f>
        <v>416791170.86397719</v>
      </c>
      <c r="O53" s="302"/>
      <c r="P53" s="308"/>
      <c r="Q53" s="309"/>
      <c r="R53" s="310"/>
      <c r="S53" s="311">
        <f>+S52*12%</f>
        <v>100029881.00735451</v>
      </c>
      <c r="T53" s="302"/>
      <c r="U53" s="312"/>
      <c r="V53" s="311">
        <f>+V52*12%</f>
        <v>69018055.599354506</v>
      </c>
      <c r="W53" s="302"/>
      <c r="X53" s="312"/>
      <c r="Y53" s="311"/>
      <c r="Z53" s="313"/>
      <c r="AA53" s="312"/>
      <c r="AB53" s="311">
        <f>+AB52*12%</f>
        <v>25007470.251838628</v>
      </c>
      <c r="AC53" s="302"/>
      <c r="AD53" s="312"/>
      <c r="AE53" s="311">
        <f>+AE52*12%</f>
        <v>125037351.25919314</v>
      </c>
      <c r="AF53" s="302"/>
    </row>
    <row r="54" spans="1:32" ht="15.75" thickBot="1" x14ac:dyDescent="0.3">
      <c r="A54" s="152"/>
      <c r="B54" s="314" t="s">
        <v>148</v>
      </c>
      <c r="C54" s="318"/>
      <c r="D54" s="318"/>
      <c r="E54" s="319"/>
      <c r="F54" s="314"/>
      <c r="G54" s="315">
        <f>+G52-G53</f>
        <v>3646922745.0598001</v>
      </c>
      <c r="H54" s="316"/>
      <c r="I54" s="317"/>
      <c r="J54" s="318"/>
      <c r="K54" s="318"/>
      <c r="L54" s="319"/>
      <c r="M54" s="314"/>
      <c r="N54" s="320">
        <f>+N52-N53</f>
        <v>1667164683.4559085</v>
      </c>
      <c r="O54" s="316"/>
      <c r="P54" s="317"/>
      <c r="Q54" s="319"/>
      <c r="R54" s="314"/>
      <c r="S54" s="321">
        <f>+S52-S53</f>
        <v>733552460.72059977</v>
      </c>
      <c r="T54" s="316"/>
      <c r="U54" s="322"/>
      <c r="V54" s="321">
        <f>+V52-V53</f>
        <v>506132407.72859967</v>
      </c>
      <c r="W54" s="316"/>
      <c r="X54" s="322"/>
      <c r="Y54" s="321">
        <f>+Y52-Y53</f>
        <v>208395585.43198857</v>
      </c>
      <c r="Z54" s="323"/>
      <c r="AA54" s="322"/>
      <c r="AB54" s="321">
        <f>+AB52-AB53</f>
        <v>183388115.18014994</v>
      </c>
      <c r="AC54" s="316"/>
      <c r="AD54" s="322"/>
      <c r="AE54" s="321">
        <f>+AE52-AE53</f>
        <v>916940575.90074968</v>
      </c>
      <c r="AF54" s="316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786" t="s">
        <v>161</v>
      </c>
      <c r="G56" s="787"/>
      <c r="H56" s="788"/>
      <c r="M56" s="786" t="s">
        <v>160</v>
      </c>
      <c r="N56" s="787"/>
      <c r="O56" s="788"/>
      <c r="R56" s="786" t="s">
        <v>159</v>
      </c>
      <c r="S56" s="787"/>
      <c r="T56" s="788"/>
    </row>
    <row r="57" spans="1:32" x14ac:dyDescent="0.25">
      <c r="F57" s="3" t="s">
        <v>155</v>
      </c>
      <c r="G57" s="3"/>
      <c r="H57" s="271">
        <f>+G52</f>
        <v>5209889635.7997141</v>
      </c>
      <c r="M57" s="3" t="s">
        <v>155</v>
      </c>
      <c r="N57" s="3"/>
      <c r="O57" s="271">
        <f>+N52</f>
        <v>2083955854.3198857</v>
      </c>
      <c r="R57" s="3" t="s">
        <v>155</v>
      </c>
      <c r="S57" s="3"/>
      <c r="T57" s="271">
        <f>S52+V52+Y52+AB52+AE52</f>
        <v>2867501903.0798283</v>
      </c>
    </row>
    <row r="58" spans="1:32" x14ac:dyDescent="0.25">
      <c r="F58" s="3" t="s">
        <v>156</v>
      </c>
      <c r="G58" s="3"/>
      <c r="H58" s="271">
        <f>+G52-H52</f>
        <v>2906073018.9871311</v>
      </c>
      <c r="M58" s="3" t="s">
        <v>156</v>
      </c>
      <c r="N58" s="3"/>
      <c r="O58" s="271">
        <f>+N52-O52</f>
        <v>1162429207.5948529</v>
      </c>
      <c r="R58" s="3" t="s">
        <v>156</v>
      </c>
      <c r="S58" s="3"/>
      <c r="T58" s="271">
        <f>T57-T59</f>
        <v>1603172033.9522786</v>
      </c>
    </row>
    <row r="59" spans="1:32" x14ac:dyDescent="0.25">
      <c r="F59" s="3" t="s">
        <v>157</v>
      </c>
      <c r="G59" s="3"/>
      <c r="H59" s="271">
        <f>+H52</f>
        <v>2303816616.812583</v>
      </c>
      <c r="M59" s="3" t="s">
        <v>157</v>
      </c>
      <c r="N59" s="3"/>
      <c r="O59" s="271">
        <f>+O52</f>
        <v>921526646.72503293</v>
      </c>
      <c r="R59" s="3" t="s">
        <v>157</v>
      </c>
      <c r="S59" s="3"/>
      <c r="T59" s="271">
        <f>T52+W52+Z52+AC52+AF52</f>
        <v>1264329869.1275496</v>
      </c>
    </row>
    <row r="60" spans="1:32" x14ac:dyDescent="0.25">
      <c r="F60" s="3" t="s">
        <v>147</v>
      </c>
      <c r="G60" s="3"/>
      <c r="H60" s="271">
        <f>+G53</f>
        <v>1562966890.7399142</v>
      </c>
      <c r="M60" s="3" t="s">
        <v>147</v>
      </c>
      <c r="N60" s="3"/>
      <c r="O60" s="271">
        <f>+N53</f>
        <v>416791170.86397719</v>
      </c>
      <c r="R60" s="3" t="s">
        <v>147</v>
      </c>
      <c r="S60" s="3"/>
      <c r="T60" s="271">
        <f>S53+V53+AB53+AE53</f>
        <v>319092758.11774075</v>
      </c>
    </row>
    <row r="61" spans="1:32" x14ac:dyDescent="0.25">
      <c r="F61" s="3" t="s">
        <v>158</v>
      </c>
      <c r="G61" s="3"/>
      <c r="H61" s="271">
        <f>+H59-H60</f>
        <v>740849726.07266879</v>
      </c>
      <c r="M61" s="3" t="s">
        <v>158</v>
      </c>
      <c r="N61" s="3"/>
      <c r="O61" s="271">
        <f>+O59-O60</f>
        <v>504735475.86105573</v>
      </c>
      <c r="R61" s="3" t="s">
        <v>158</v>
      </c>
      <c r="S61" s="3"/>
      <c r="T61" s="271">
        <f>+T59-T60</f>
        <v>945237111.0098089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opLeftCell="C1" workbookViewId="0">
      <selection activeCell="R4" sqref="R4"/>
    </sheetView>
  </sheetViews>
  <sheetFormatPr baseColWidth="10" defaultRowHeight="15" x14ac:dyDescent="0.25"/>
  <cols>
    <col min="1" max="1" width="9" style="1" bestFit="1" customWidth="1"/>
    <col min="2" max="2" width="59" style="1" bestFit="1" customWidth="1"/>
    <col min="3" max="3" width="9.7109375" style="1" bestFit="1" customWidth="1"/>
    <col min="4" max="8" width="9.7109375" style="1" customWidth="1"/>
    <col min="9" max="9" width="11.42578125" style="1"/>
    <col min="10" max="10" width="13.42578125" style="1" customWidth="1"/>
    <col min="11" max="12" width="8.7109375" style="1" customWidth="1"/>
    <col min="13" max="13" width="10" style="1" customWidth="1"/>
    <col min="14" max="14" width="14.7109375" style="1" customWidth="1"/>
    <col min="15" max="15" width="9.28515625" style="1" customWidth="1"/>
    <col min="16" max="16" width="7.5703125" style="1" customWidth="1"/>
    <col min="17" max="16384" width="11.42578125" style="1"/>
  </cols>
  <sheetData>
    <row r="1" spans="1:18" ht="18.75" x14ac:dyDescent="0.3">
      <c r="A1" s="842" t="s">
        <v>189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</row>
    <row r="2" spans="1:18" ht="19.5" thickBot="1" x14ac:dyDescent="0.35">
      <c r="B2" s="843" t="s">
        <v>190</v>
      </c>
      <c r="C2" s="843"/>
      <c r="D2" s="843"/>
      <c r="E2" s="843"/>
      <c r="F2" s="843"/>
      <c r="G2" s="843"/>
      <c r="H2" s="843"/>
      <c r="I2" s="843"/>
      <c r="J2" s="565">
        <f>+'1-CLIENTE-RED-ENDEUDAMIEN'!H4</f>
        <v>13975613.229843169</v>
      </c>
    </row>
    <row r="3" spans="1:18" s="557" customFormat="1" ht="45" x14ac:dyDescent="0.25">
      <c r="A3" s="5" t="s">
        <v>31</v>
      </c>
      <c r="B3" s="5" t="s">
        <v>2</v>
      </c>
      <c r="C3" s="5" t="s">
        <v>191</v>
      </c>
      <c r="D3" s="5" t="s">
        <v>235</v>
      </c>
      <c r="E3" s="5" t="s">
        <v>209</v>
      </c>
      <c r="F3" s="5" t="s">
        <v>237</v>
      </c>
      <c r="G3" s="5" t="s">
        <v>239</v>
      </c>
      <c r="H3" s="5" t="s">
        <v>238</v>
      </c>
      <c r="I3" s="5" t="s">
        <v>192</v>
      </c>
      <c r="J3" s="614" t="s">
        <v>193</v>
      </c>
      <c r="K3" s="5" t="s">
        <v>281</v>
      </c>
      <c r="L3" s="5" t="s">
        <v>282</v>
      </c>
      <c r="M3" s="5" t="s">
        <v>277</v>
      </c>
      <c r="N3" s="5" t="s">
        <v>283</v>
      </c>
      <c r="O3" s="648" t="s">
        <v>240</v>
      </c>
      <c r="P3" s="5" t="s">
        <v>278</v>
      </c>
      <c r="Q3" s="5" t="s">
        <v>279</v>
      </c>
      <c r="R3" s="5" t="s">
        <v>280</v>
      </c>
    </row>
    <row r="4" spans="1:18" ht="15.75" x14ac:dyDescent="0.25">
      <c r="A4" s="616">
        <v>100001</v>
      </c>
      <c r="B4" s="617" t="s">
        <v>15</v>
      </c>
      <c r="C4" s="622">
        <v>4910</v>
      </c>
      <c r="D4" s="623">
        <v>0.48</v>
      </c>
      <c r="E4" s="24" t="s">
        <v>216</v>
      </c>
      <c r="F4" s="600">
        <v>9.6</v>
      </c>
      <c r="G4" s="600">
        <v>11.1</v>
      </c>
      <c r="H4" s="607">
        <v>0.21</v>
      </c>
      <c r="I4" s="577">
        <v>5.3518119941107528E-2</v>
      </c>
      <c r="J4" s="578">
        <f>$J$2*I4</f>
        <v>747948.54508527589</v>
      </c>
      <c r="K4" s="578">
        <f>J4/C4</f>
        <v>152.33167924343704</v>
      </c>
      <c r="L4" s="578">
        <f>K4*88</f>
        <v>13405.18777342246</v>
      </c>
      <c r="M4" s="578">
        <f>+L4/20</f>
        <v>670.25938867112302</v>
      </c>
      <c r="N4" s="578">
        <f>L4*C4</f>
        <v>65819471.967504278</v>
      </c>
      <c r="O4" s="578">
        <f>+M4*G4</f>
        <v>7439.8792142494649</v>
      </c>
      <c r="P4" s="578">
        <f>+M4/4</f>
        <v>167.56484716778075</v>
      </c>
      <c r="Q4" s="578">
        <f>+P4*H4</f>
        <v>35.188617905233954</v>
      </c>
      <c r="R4" s="578">
        <f>+P4*G4</f>
        <v>1859.9698035623662</v>
      </c>
    </row>
    <row r="5" spans="1:18" ht="15.75" x14ac:dyDescent="0.25">
      <c r="A5" s="616">
        <f>+A4+1</f>
        <v>100002</v>
      </c>
      <c r="B5" s="617" t="s">
        <v>16</v>
      </c>
      <c r="C5" s="622">
        <v>4910</v>
      </c>
      <c r="D5" s="623">
        <v>0.48</v>
      </c>
      <c r="E5" s="24" t="s">
        <v>216</v>
      </c>
      <c r="F5" s="600">
        <v>9.6</v>
      </c>
      <c r="G5" s="600">
        <v>11.1</v>
      </c>
      <c r="H5" s="607">
        <v>0.21</v>
      </c>
      <c r="I5" s="577">
        <v>3.7601368833857216E-2</v>
      </c>
      <c r="J5" s="578">
        <f t="shared" ref="J5:J51" si="0">$J$2*I5</f>
        <v>525502.18773466756</v>
      </c>
      <c r="K5" s="578">
        <f t="shared" ref="K5:K51" si="1">J5/C5</f>
        <v>107.02692214555347</v>
      </c>
      <c r="L5" s="578">
        <f t="shared" ref="L5:L51" si="2">K5*88</f>
        <v>9418.3691488087061</v>
      </c>
      <c r="M5" s="578">
        <f t="shared" ref="M5:M9" si="3">+L5/20</f>
        <v>470.9184574404353</v>
      </c>
      <c r="N5" s="578">
        <f t="shared" ref="N5:N51" si="4">L5*C5</f>
        <v>46244192.520650744</v>
      </c>
      <c r="O5" s="578">
        <f t="shared" ref="O5:O51" si="5">+M5*G5</f>
        <v>5227.1948775888313</v>
      </c>
      <c r="P5" s="578">
        <f t="shared" ref="P5:P51" si="6">+M5/4</f>
        <v>117.72961436010883</v>
      </c>
      <c r="Q5" s="578">
        <f t="shared" ref="Q5:Q51" si="7">+P5*H5</f>
        <v>24.723219015622853</v>
      </c>
      <c r="R5" s="578">
        <f t="shared" ref="R5:R51" si="8">+P5*G5</f>
        <v>1306.7987193972078</v>
      </c>
    </row>
    <row r="6" spans="1:18" ht="15.75" x14ac:dyDescent="0.25">
      <c r="A6" s="616">
        <f t="shared" ref="A6:A51" si="9">+A5+1</f>
        <v>100003</v>
      </c>
      <c r="B6" s="617" t="s">
        <v>17</v>
      </c>
      <c r="C6" s="622">
        <v>6000</v>
      </c>
      <c r="D6" s="623">
        <v>0.36</v>
      </c>
      <c r="E6" s="24" t="s">
        <v>216</v>
      </c>
      <c r="F6" s="600">
        <v>7.1999999999999993</v>
      </c>
      <c r="G6" s="600">
        <v>8.6999999999999993</v>
      </c>
      <c r="H6" s="607">
        <v>0.21</v>
      </c>
      <c r="I6" s="577">
        <v>1.0959822872810982E-2</v>
      </c>
      <c r="J6" s="578">
        <f t="shared" si="0"/>
        <v>153170.24553799495</v>
      </c>
      <c r="K6" s="578">
        <f t="shared" si="1"/>
        <v>25.528374256332491</v>
      </c>
      <c r="L6" s="578">
        <f t="shared" si="2"/>
        <v>2246.496934557259</v>
      </c>
      <c r="M6" s="578">
        <f t="shared" si="3"/>
        <v>112.32484672786295</v>
      </c>
      <c r="N6" s="578">
        <f t="shared" si="4"/>
        <v>13478981.607343554</v>
      </c>
      <c r="O6" s="578">
        <f t="shared" si="5"/>
        <v>977.22616653240755</v>
      </c>
      <c r="P6" s="578">
        <f t="shared" si="6"/>
        <v>28.081211681965737</v>
      </c>
      <c r="Q6" s="578">
        <f t="shared" si="7"/>
        <v>5.8970544532128049</v>
      </c>
      <c r="R6" s="578">
        <f t="shared" si="8"/>
        <v>244.30654163310189</v>
      </c>
    </row>
    <row r="7" spans="1:18" ht="15.75" x14ac:dyDescent="0.25">
      <c r="A7" s="616">
        <f t="shared" si="9"/>
        <v>100004</v>
      </c>
      <c r="B7" s="617" t="s">
        <v>18</v>
      </c>
      <c r="C7" s="622">
        <v>5130</v>
      </c>
      <c r="D7" s="623">
        <v>0.4</v>
      </c>
      <c r="E7" s="24" t="s">
        <v>216</v>
      </c>
      <c r="F7" s="600">
        <v>8</v>
      </c>
      <c r="G7" s="600">
        <v>9.5</v>
      </c>
      <c r="H7" s="607">
        <v>0.21</v>
      </c>
      <c r="I7" s="577">
        <v>2.0869862636506389E-2</v>
      </c>
      <c r="J7" s="578">
        <f t="shared" si="0"/>
        <v>291669.12836776831</v>
      </c>
      <c r="K7" s="578">
        <f t="shared" si="1"/>
        <v>56.855580578512338</v>
      </c>
      <c r="L7" s="578">
        <f t="shared" si="2"/>
        <v>5003.2910909090861</v>
      </c>
      <c r="M7" s="578">
        <f t="shared" si="3"/>
        <v>250.16455454545431</v>
      </c>
      <c r="N7" s="578">
        <f t="shared" si="4"/>
        <v>25666883.296363611</v>
      </c>
      <c r="O7" s="578">
        <f t="shared" si="5"/>
        <v>2376.5632681818161</v>
      </c>
      <c r="P7" s="578">
        <f t="shared" si="6"/>
        <v>62.541138636363577</v>
      </c>
      <c r="Q7" s="578">
        <f t="shared" si="7"/>
        <v>13.133639113636351</v>
      </c>
      <c r="R7" s="578">
        <f t="shared" si="8"/>
        <v>594.14081704545401</v>
      </c>
    </row>
    <row r="8" spans="1:18" ht="15.75" x14ac:dyDescent="0.25">
      <c r="A8" s="616">
        <f t="shared" si="9"/>
        <v>100005</v>
      </c>
      <c r="B8" s="617" t="s">
        <v>19</v>
      </c>
      <c r="C8" s="622">
        <v>8550</v>
      </c>
      <c r="D8" s="623">
        <v>0.4</v>
      </c>
      <c r="E8" s="24" t="s">
        <v>216</v>
      </c>
      <c r="F8" s="600">
        <v>8</v>
      </c>
      <c r="G8" s="600">
        <v>9.5</v>
      </c>
      <c r="H8" s="607">
        <v>0.21</v>
      </c>
      <c r="I8" s="577">
        <v>1.578835457061134E-2</v>
      </c>
      <c r="J8" s="578">
        <f t="shared" si="0"/>
        <v>220651.93701449072</v>
      </c>
      <c r="K8" s="578">
        <f t="shared" si="1"/>
        <v>25.807244095262071</v>
      </c>
      <c r="L8" s="578">
        <f t="shared" si="2"/>
        <v>2271.0374803830623</v>
      </c>
      <c r="M8" s="578">
        <f t="shared" si="3"/>
        <v>113.55187401915312</v>
      </c>
      <c r="N8" s="578">
        <f t="shared" si="4"/>
        <v>19417370.457275182</v>
      </c>
      <c r="O8" s="578">
        <f t="shared" si="5"/>
        <v>1078.7428031819545</v>
      </c>
      <c r="P8" s="578">
        <f t="shared" si="6"/>
        <v>28.387968504788279</v>
      </c>
      <c r="Q8" s="578">
        <f t="shared" si="7"/>
        <v>5.9614733860055384</v>
      </c>
      <c r="R8" s="578">
        <f t="shared" si="8"/>
        <v>269.68570079548863</v>
      </c>
    </row>
    <row r="9" spans="1:18" ht="15.75" x14ac:dyDescent="0.25">
      <c r="A9" s="616">
        <f t="shared" si="9"/>
        <v>100006</v>
      </c>
      <c r="B9" s="617" t="s">
        <v>42</v>
      </c>
      <c r="C9" s="622">
        <v>10100</v>
      </c>
      <c r="D9" s="623">
        <v>0.4</v>
      </c>
      <c r="E9" s="24" t="s">
        <v>216</v>
      </c>
      <c r="F9" s="600">
        <v>8</v>
      </c>
      <c r="G9" s="600">
        <v>9.5</v>
      </c>
      <c r="H9" s="607">
        <v>0.21</v>
      </c>
      <c r="I9" s="577">
        <v>1.7467299349658533E-2</v>
      </c>
      <c r="J9" s="578">
        <f t="shared" si="0"/>
        <v>244116.2198807188</v>
      </c>
      <c r="K9" s="578">
        <f t="shared" si="1"/>
        <v>24.169922760467209</v>
      </c>
      <c r="L9" s="578">
        <f t="shared" si="2"/>
        <v>2126.9532029211146</v>
      </c>
      <c r="M9" s="578">
        <f t="shared" si="3"/>
        <v>106.34766014605573</v>
      </c>
      <c r="N9" s="578">
        <f t="shared" si="4"/>
        <v>21482227.349503256</v>
      </c>
      <c r="O9" s="578">
        <f t="shared" si="5"/>
        <v>1010.3027713875294</v>
      </c>
      <c r="P9" s="578">
        <f t="shared" si="6"/>
        <v>26.586915036513933</v>
      </c>
      <c r="Q9" s="578">
        <f t="shared" si="7"/>
        <v>5.5832521576679257</v>
      </c>
      <c r="R9" s="578">
        <f t="shared" si="8"/>
        <v>252.57569284688236</v>
      </c>
    </row>
    <row r="10" spans="1:18" ht="15.75" x14ac:dyDescent="0.25">
      <c r="A10" s="616">
        <f>+A9+1</f>
        <v>100007</v>
      </c>
      <c r="B10" s="616" t="s">
        <v>43</v>
      </c>
      <c r="C10" s="624">
        <v>2340</v>
      </c>
      <c r="D10" s="625">
        <v>0.08</v>
      </c>
      <c r="E10" s="24" t="s">
        <v>215</v>
      </c>
      <c r="F10" s="601">
        <v>2</v>
      </c>
      <c r="G10" s="601">
        <v>3.5</v>
      </c>
      <c r="H10" s="608">
        <v>0.21</v>
      </c>
      <c r="I10" s="577">
        <v>2.0689609453558255E-2</v>
      </c>
      <c r="J10" s="578">
        <f t="shared" si="0"/>
        <v>289149.97959943704</v>
      </c>
      <c r="K10" s="578">
        <f t="shared" si="1"/>
        <v>123.56836735018676</v>
      </c>
      <c r="L10" s="578">
        <f t="shared" si="2"/>
        <v>10874.016326816434</v>
      </c>
      <c r="M10" s="578">
        <f>+L10/25</f>
        <v>434.96065307265735</v>
      </c>
      <c r="N10" s="578">
        <f t="shared" si="4"/>
        <v>25445198.204750456</v>
      </c>
      <c r="O10" s="578">
        <f t="shared" si="5"/>
        <v>1522.3622857543007</v>
      </c>
      <c r="P10" s="578">
        <f t="shared" si="6"/>
        <v>108.74016326816434</v>
      </c>
      <c r="Q10" s="578">
        <f t="shared" si="7"/>
        <v>22.835434286314509</v>
      </c>
      <c r="R10" s="578">
        <f t="shared" si="8"/>
        <v>380.59057143857518</v>
      </c>
    </row>
    <row r="11" spans="1:18" ht="15.75" x14ac:dyDescent="0.25">
      <c r="A11" s="616">
        <f t="shared" si="9"/>
        <v>100008</v>
      </c>
      <c r="B11" s="616" t="s">
        <v>47</v>
      </c>
      <c r="C11" s="624">
        <v>2340</v>
      </c>
      <c r="D11" s="625">
        <v>0.09</v>
      </c>
      <c r="E11" s="24" t="s">
        <v>215</v>
      </c>
      <c r="F11" s="601">
        <v>2.25</v>
      </c>
      <c r="G11" s="601">
        <v>3.75</v>
      </c>
      <c r="H11" s="608">
        <v>0.21</v>
      </c>
      <c r="I11" s="577">
        <v>8.7435789522680076E-3</v>
      </c>
      <c r="J11" s="578">
        <f t="shared" si="0"/>
        <v>122196.87768149504</v>
      </c>
      <c r="K11" s="578">
        <f t="shared" si="1"/>
        <v>52.220887898074807</v>
      </c>
      <c r="L11" s="578">
        <f t="shared" si="2"/>
        <v>4595.438135030583</v>
      </c>
      <c r="M11" s="578">
        <f t="shared" ref="M11:M13" si="10">+L11/25</f>
        <v>183.81752540122332</v>
      </c>
      <c r="N11" s="578">
        <f t="shared" si="4"/>
        <v>10753325.235971564</v>
      </c>
      <c r="O11" s="578">
        <f t="shared" si="5"/>
        <v>689.3157202545874</v>
      </c>
      <c r="P11" s="578">
        <f t="shared" si="6"/>
        <v>45.95438135030583</v>
      </c>
      <c r="Q11" s="578">
        <f t="shared" si="7"/>
        <v>9.6504200835642244</v>
      </c>
      <c r="R11" s="578">
        <f t="shared" si="8"/>
        <v>172.32893006364685</v>
      </c>
    </row>
    <row r="12" spans="1:18" ht="15.75" x14ac:dyDescent="0.25">
      <c r="A12" s="616">
        <f t="shared" si="9"/>
        <v>100009</v>
      </c>
      <c r="B12" s="616" t="s">
        <v>50</v>
      </c>
      <c r="C12" s="624">
        <v>2240</v>
      </c>
      <c r="D12" s="625">
        <v>0.1</v>
      </c>
      <c r="E12" s="24" t="s">
        <v>215</v>
      </c>
      <c r="F12" s="601">
        <v>2.5</v>
      </c>
      <c r="G12" s="601">
        <v>4</v>
      </c>
      <c r="H12" s="608">
        <v>0.21</v>
      </c>
      <c r="I12" s="577">
        <v>3.4666989811607013E-2</v>
      </c>
      <c r="J12" s="578">
        <f t="shared" si="0"/>
        <v>484492.44144993334</v>
      </c>
      <c r="K12" s="578">
        <f t="shared" si="1"/>
        <v>216.29126850443453</v>
      </c>
      <c r="L12" s="578">
        <f t="shared" si="2"/>
        <v>19033.631628390238</v>
      </c>
      <c r="M12" s="578">
        <f t="shared" si="10"/>
        <v>761.34526513560957</v>
      </c>
      <c r="N12" s="578">
        <f t="shared" si="4"/>
        <v>42635334.847594135</v>
      </c>
      <c r="O12" s="578">
        <f t="shared" si="5"/>
        <v>3045.3810605424383</v>
      </c>
      <c r="P12" s="578">
        <f t="shared" si="6"/>
        <v>190.33631628390239</v>
      </c>
      <c r="Q12" s="578">
        <f t="shared" si="7"/>
        <v>39.970626419619499</v>
      </c>
      <c r="R12" s="578">
        <f t="shared" si="8"/>
        <v>761.34526513560957</v>
      </c>
    </row>
    <row r="13" spans="1:18" ht="15.75" x14ac:dyDescent="0.25">
      <c r="A13" s="616">
        <f t="shared" si="9"/>
        <v>100010</v>
      </c>
      <c r="B13" s="616" t="s">
        <v>52</v>
      </c>
      <c r="C13" s="624">
        <v>2300</v>
      </c>
      <c r="D13" s="625">
        <v>0.36</v>
      </c>
      <c r="E13" s="24" t="s">
        <v>215</v>
      </c>
      <c r="F13" s="601">
        <v>9</v>
      </c>
      <c r="G13" s="601">
        <v>10.5</v>
      </c>
      <c r="H13" s="608">
        <v>0.21</v>
      </c>
      <c r="I13" s="577">
        <v>2.8351594888090376E-2</v>
      </c>
      <c r="J13" s="578">
        <f t="shared" si="0"/>
        <v>396230.92460514983</v>
      </c>
      <c r="K13" s="578">
        <f t="shared" si="1"/>
        <v>172.27431504571732</v>
      </c>
      <c r="L13" s="578">
        <f t="shared" si="2"/>
        <v>15160.139724023124</v>
      </c>
      <c r="M13" s="578">
        <f t="shared" si="10"/>
        <v>606.40558896092489</v>
      </c>
      <c r="N13" s="578">
        <f t="shared" si="4"/>
        <v>34868321.365253188</v>
      </c>
      <c r="O13" s="578">
        <f t="shared" si="5"/>
        <v>6367.2586840897111</v>
      </c>
      <c r="P13" s="578">
        <f t="shared" si="6"/>
        <v>151.60139724023122</v>
      </c>
      <c r="Q13" s="578">
        <f t="shared" si="7"/>
        <v>31.836293420448555</v>
      </c>
      <c r="R13" s="578">
        <f t="shared" si="8"/>
        <v>1591.8146710224278</v>
      </c>
    </row>
    <row r="14" spans="1:18" ht="15.75" x14ac:dyDescent="0.25">
      <c r="A14" s="616">
        <f t="shared" si="9"/>
        <v>100011</v>
      </c>
      <c r="B14" s="616" t="s">
        <v>53</v>
      </c>
      <c r="C14" s="624">
        <v>1260</v>
      </c>
      <c r="D14" s="625">
        <v>0.15</v>
      </c>
      <c r="E14" s="24" t="s">
        <v>216</v>
      </c>
      <c r="F14" s="601">
        <v>3</v>
      </c>
      <c r="G14" s="601">
        <v>4.5</v>
      </c>
      <c r="H14" s="608">
        <v>0.21</v>
      </c>
      <c r="I14" s="577">
        <v>1.8298463263697554E-2</v>
      </c>
      <c r="J14" s="578">
        <f t="shared" si="0"/>
        <v>255732.24527393075</v>
      </c>
      <c r="K14" s="578">
        <f t="shared" si="1"/>
        <v>202.96209942375455</v>
      </c>
      <c r="L14" s="578">
        <f t="shared" si="2"/>
        <v>17860.664749290401</v>
      </c>
      <c r="M14" s="578">
        <f t="shared" ref="M14:M20" si="11">+L14/20</f>
        <v>893.03323746452008</v>
      </c>
      <c r="N14" s="578">
        <f t="shared" si="4"/>
        <v>22504437.584105905</v>
      </c>
      <c r="O14" s="578">
        <f t="shared" si="5"/>
        <v>4018.6495685903406</v>
      </c>
      <c r="P14" s="578">
        <f t="shared" si="6"/>
        <v>223.25830936613002</v>
      </c>
      <c r="Q14" s="578">
        <f t="shared" si="7"/>
        <v>46.884244966887302</v>
      </c>
      <c r="R14" s="578">
        <f t="shared" si="8"/>
        <v>1004.6623921475851</v>
      </c>
    </row>
    <row r="15" spans="1:18" ht="15.75" x14ac:dyDescent="0.25">
      <c r="A15" s="616">
        <f t="shared" si="9"/>
        <v>100012</v>
      </c>
      <c r="B15" s="616" t="s">
        <v>55</v>
      </c>
      <c r="C15" s="624">
        <v>1260</v>
      </c>
      <c r="D15" s="625">
        <v>0.09</v>
      </c>
      <c r="E15" s="24" t="s">
        <v>216</v>
      </c>
      <c r="F15" s="601">
        <v>1.7999999999999998</v>
      </c>
      <c r="G15" s="601">
        <v>3.3</v>
      </c>
      <c r="H15" s="608">
        <v>0.21</v>
      </c>
      <c r="I15" s="577">
        <v>1.4356577442554015E-2</v>
      </c>
      <c r="J15" s="578">
        <f t="shared" si="0"/>
        <v>200641.9736414259</v>
      </c>
      <c r="K15" s="578">
        <f t="shared" si="1"/>
        <v>159.23966162017928</v>
      </c>
      <c r="L15" s="578">
        <f t="shared" si="2"/>
        <v>14013.090222575776</v>
      </c>
      <c r="M15" s="578">
        <f t="shared" si="11"/>
        <v>700.65451112878884</v>
      </c>
      <c r="N15" s="578">
        <f t="shared" si="4"/>
        <v>17656493.680445477</v>
      </c>
      <c r="O15" s="578">
        <f t="shared" si="5"/>
        <v>2312.1598867250032</v>
      </c>
      <c r="P15" s="578">
        <f t="shared" si="6"/>
        <v>175.16362778219721</v>
      </c>
      <c r="Q15" s="578">
        <f t="shared" si="7"/>
        <v>36.784361834261411</v>
      </c>
      <c r="R15" s="578">
        <f t="shared" si="8"/>
        <v>578.03997168125079</v>
      </c>
    </row>
    <row r="16" spans="1:18" ht="15.75" x14ac:dyDescent="0.25">
      <c r="A16" s="616">
        <f t="shared" si="9"/>
        <v>100013</v>
      </c>
      <c r="B16" s="616" t="s">
        <v>57</v>
      </c>
      <c r="C16" s="624">
        <v>2710</v>
      </c>
      <c r="D16" s="625">
        <v>0.18</v>
      </c>
      <c r="E16" s="24" t="s">
        <v>218</v>
      </c>
      <c r="F16" s="601">
        <v>3.5999999999999996</v>
      </c>
      <c r="G16" s="601">
        <v>5.0999999999999996</v>
      </c>
      <c r="H16" s="608">
        <v>0.21</v>
      </c>
      <c r="I16" s="577">
        <v>2.098811690004827E-2</v>
      </c>
      <c r="J16" s="578">
        <f t="shared" si="0"/>
        <v>293321.80421780958</v>
      </c>
      <c r="K16" s="578">
        <f t="shared" si="1"/>
        <v>108.23682812465299</v>
      </c>
      <c r="L16" s="578">
        <f t="shared" si="2"/>
        <v>9524.8408749694627</v>
      </c>
      <c r="M16" s="578">
        <f t="shared" si="11"/>
        <v>476.24204374847312</v>
      </c>
      <c r="N16" s="578">
        <f t="shared" si="4"/>
        <v>25812318.771167245</v>
      </c>
      <c r="O16" s="578">
        <f t="shared" si="5"/>
        <v>2428.8344231172127</v>
      </c>
      <c r="P16" s="578">
        <f t="shared" si="6"/>
        <v>119.06051093711828</v>
      </c>
      <c r="Q16" s="578">
        <f t="shared" si="7"/>
        <v>25.002707296794838</v>
      </c>
      <c r="R16" s="578">
        <f t="shared" si="8"/>
        <v>607.20860577930318</v>
      </c>
    </row>
    <row r="17" spans="1:18" ht="15.75" x14ac:dyDescent="0.25">
      <c r="A17" s="616">
        <f t="shared" si="9"/>
        <v>100014</v>
      </c>
      <c r="B17" s="616" t="s">
        <v>59</v>
      </c>
      <c r="C17" s="624">
        <v>1480</v>
      </c>
      <c r="D17" s="625">
        <v>0.56000000000000005</v>
      </c>
      <c r="E17" s="24" t="s">
        <v>219</v>
      </c>
      <c r="F17" s="601">
        <v>11.200000000000001</v>
      </c>
      <c r="G17" s="601">
        <v>13.000000000000002</v>
      </c>
      <c r="H17" s="608">
        <v>0.35</v>
      </c>
      <c r="I17" s="577">
        <v>2.0679468122106363E-2</v>
      </c>
      <c r="J17" s="578">
        <f t="shared" si="0"/>
        <v>289008.24827342975</v>
      </c>
      <c r="K17" s="578">
        <f t="shared" si="1"/>
        <v>195.27584342799307</v>
      </c>
      <c r="L17" s="578">
        <f t="shared" si="2"/>
        <v>17184.274221663389</v>
      </c>
      <c r="M17" s="578">
        <f t="shared" si="11"/>
        <v>859.21371108316941</v>
      </c>
      <c r="N17" s="578">
        <f t="shared" si="4"/>
        <v>25432725.848061815</v>
      </c>
      <c r="O17" s="578">
        <f t="shared" si="5"/>
        <v>11169.778244081204</v>
      </c>
      <c r="P17" s="578">
        <f t="shared" si="6"/>
        <v>214.80342777079235</v>
      </c>
      <c r="Q17" s="578">
        <f t="shared" si="7"/>
        <v>75.181199719777325</v>
      </c>
      <c r="R17" s="578">
        <f t="shared" si="8"/>
        <v>2792.4445610203011</v>
      </c>
    </row>
    <row r="18" spans="1:18" ht="15.75" x14ac:dyDescent="0.25">
      <c r="A18" s="616">
        <f>+A17+1</f>
        <v>100015</v>
      </c>
      <c r="B18" s="618" t="s">
        <v>62</v>
      </c>
      <c r="C18" s="626">
        <v>2360</v>
      </c>
      <c r="D18" s="627">
        <v>0.60000000000000009</v>
      </c>
      <c r="E18" s="24" t="s">
        <v>216</v>
      </c>
      <c r="F18" s="602">
        <v>12.000000000000002</v>
      </c>
      <c r="G18" s="602">
        <v>13.500000000000002</v>
      </c>
      <c r="H18" s="609">
        <v>0.21</v>
      </c>
      <c r="I18" s="577">
        <v>5.4548355917159799E-2</v>
      </c>
      <c r="J18" s="578">
        <f t="shared" si="0"/>
        <v>762346.7246220524</v>
      </c>
      <c r="K18" s="578">
        <f t="shared" si="1"/>
        <v>323.02827314493743</v>
      </c>
      <c r="L18" s="578">
        <f t="shared" si="2"/>
        <v>28426.488036754494</v>
      </c>
      <c r="M18" s="578">
        <f t="shared" si="11"/>
        <v>1421.3244018377247</v>
      </c>
      <c r="N18" s="578">
        <f t="shared" si="4"/>
        <v>67086511.766740605</v>
      </c>
      <c r="O18" s="578">
        <f t="shared" si="5"/>
        <v>19187.879424809285</v>
      </c>
      <c r="P18" s="578">
        <f t="shared" si="6"/>
        <v>355.33110045943118</v>
      </c>
      <c r="Q18" s="578">
        <f t="shared" si="7"/>
        <v>74.619531096480543</v>
      </c>
      <c r="R18" s="578">
        <f t="shared" si="8"/>
        <v>4796.9698562023214</v>
      </c>
    </row>
    <row r="19" spans="1:18" ht="15.75" x14ac:dyDescent="0.25">
      <c r="A19" s="616">
        <f t="shared" si="9"/>
        <v>100016</v>
      </c>
      <c r="B19" s="618" t="s">
        <v>65</v>
      </c>
      <c r="C19" s="626">
        <v>5000</v>
      </c>
      <c r="D19" s="627">
        <v>0.48</v>
      </c>
      <c r="E19" s="24" t="s">
        <v>218</v>
      </c>
      <c r="F19" s="602">
        <v>9.6</v>
      </c>
      <c r="G19" s="602">
        <v>11.1</v>
      </c>
      <c r="H19" s="609">
        <v>0.21</v>
      </c>
      <c r="I19" s="577">
        <v>1.2735897046611974E-2</v>
      </c>
      <c r="J19" s="578">
        <f t="shared" si="0"/>
        <v>177991.97125855085</v>
      </c>
      <c r="K19" s="578">
        <f t="shared" si="1"/>
        <v>35.598394251710168</v>
      </c>
      <c r="L19" s="578">
        <f t="shared" si="2"/>
        <v>3132.6586941504947</v>
      </c>
      <c r="M19" s="578">
        <f t="shared" si="11"/>
        <v>156.63293470752473</v>
      </c>
      <c r="N19" s="578">
        <f t="shared" si="4"/>
        <v>15663293.470752474</v>
      </c>
      <c r="O19" s="578">
        <f t="shared" si="5"/>
        <v>1738.6255752535244</v>
      </c>
      <c r="P19" s="578">
        <f t="shared" si="6"/>
        <v>39.158233676881181</v>
      </c>
      <c r="Q19" s="578">
        <f t="shared" si="7"/>
        <v>8.2232290721450472</v>
      </c>
      <c r="R19" s="578">
        <f t="shared" si="8"/>
        <v>434.6563938133811</v>
      </c>
    </row>
    <row r="20" spans="1:18" ht="15.75" x14ac:dyDescent="0.25">
      <c r="A20" s="616">
        <f t="shared" si="9"/>
        <v>100017</v>
      </c>
      <c r="B20" s="618" t="s">
        <v>66</v>
      </c>
      <c r="C20" s="626">
        <v>3590</v>
      </c>
      <c r="D20" s="627">
        <v>0.2</v>
      </c>
      <c r="E20" s="24" t="s">
        <v>218</v>
      </c>
      <c r="F20" s="602">
        <v>4</v>
      </c>
      <c r="G20" s="602">
        <v>5.5</v>
      </c>
      <c r="H20" s="609">
        <v>0.21</v>
      </c>
      <c r="I20" s="577">
        <v>9.1809484158309283E-3</v>
      </c>
      <c r="J20" s="578">
        <f t="shared" si="0"/>
        <v>128309.38414279441</v>
      </c>
      <c r="K20" s="578">
        <f t="shared" si="1"/>
        <v>35.740775527240785</v>
      </c>
      <c r="L20" s="578">
        <f t="shared" si="2"/>
        <v>3145.1882463971892</v>
      </c>
      <c r="M20" s="578">
        <f t="shared" si="11"/>
        <v>157.25941231985945</v>
      </c>
      <c r="N20" s="578">
        <f t="shared" si="4"/>
        <v>11291225.80456591</v>
      </c>
      <c r="O20" s="578">
        <f t="shared" si="5"/>
        <v>864.926767759227</v>
      </c>
      <c r="P20" s="578">
        <f t="shared" si="6"/>
        <v>39.314853079964863</v>
      </c>
      <c r="Q20" s="578">
        <f t="shared" si="7"/>
        <v>8.2561191467926207</v>
      </c>
      <c r="R20" s="578">
        <f t="shared" si="8"/>
        <v>216.23169193980675</v>
      </c>
    </row>
    <row r="21" spans="1:18" ht="15.75" x14ac:dyDescent="0.25">
      <c r="A21" s="616">
        <f t="shared" si="9"/>
        <v>100018</v>
      </c>
      <c r="B21" s="618" t="s">
        <v>68</v>
      </c>
      <c r="C21" s="626">
        <v>12330</v>
      </c>
      <c r="D21" s="627">
        <v>0.12</v>
      </c>
      <c r="E21" s="24" t="s">
        <v>215</v>
      </c>
      <c r="F21" s="602">
        <v>3</v>
      </c>
      <c r="G21" s="602">
        <v>4.5</v>
      </c>
      <c r="H21" s="609">
        <v>0.21</v>
      </c>
      <c r="I21" s="577">
        <v>8.7539275592806512E-3</v>
      </c>
      <c r="J21" s="578">
        <f t="shared" si="0"/>
        <v>122341.5058105714</v>
      </c>
      <c r="K21" s="578">
        <f t="shared" si="1"/>
        <v>9.9222632449774046</v>
      </c>
      <c r="L21" s="578">
        <f t="shared" si="2"/>
        <v>873.15916555801164</v>
      </c>
      <c r="M21" s="578">
        <f t="shared" ref="M21" si="12">+L21/25</f>
        <v>34.926366622320465</v>
      </c>
      <c r="N21" s="578">
        <f t="shared" si="4"/>
        <v>10766052.511330284</v>
      </c>
      <c r="O21" s="578">
        <f t="shared" si="5"/>
        <v>157.1686498004421</v>
      </c>
      <c r="P21" s="578">
        <f t="shared" si="6"/>
        <v>8.7315916555801163</v>
      </c>
      <c r="Q21" s="578">
        <f t="shared" si="7"/>
        <v>1.8336342476718244</v>
      </c>
      <c r="R21" s="578">
        <f t="shared" si="8"/>
        <v>39.292162450110524</v>
      </c>
    </row>
    <row r="22" spans="1:18" ht="15.75" x14ac:dyDescent="0.25">
      <c r="A22" s="616">
        <f t="shared" si="9"/>
        <v>100019</v>
      </c>
      <c r="B22" s="618" t="s">
        <v>70</v>
      </c>
      <c r="C22" s="626">
        <v>7480</v>
      </c>
      <c r="D22" s="627">
        <v>8.5000000000000006E-2</v>
      </c>
      <c r="E22" s="24" t="s">
        <v>214</v>
      </c>
      <c r="F22" s="602">
        <v>1.02</v>
      </c>
      <c r="G22" s="602">
        <v>2.52</v>
      </c>
      <c r="H22" s="609">
        <v>1.2000000000000002E-2</v>
      </c>
      <c r="I22" s="577">
        <v>7.6756998964912062E-3</v>
      </c>
      <c r="J22" s="578">
        <f t="shared" si="0"/>
        <v>107272.61302170834</v>
      </c>
      <c r="K22" s="578">
        <f t="shared" si="1"/>
        <v>14.341258425362078</v>
      </c>
      <c r="L22" s="578">
        <f t="shared" si="2"/>
        <v>1262.0307414318629</v>
      </c>
      <c r="M22" s="578">
        <f>+L22/12</f>
        <v>105.16922845265525</v>
      </c>
      <c r="N22" s="578">
        <f t="shared" si="4"/>
        <v>9439989.9459103346</v>
      </c>
      <c r="O22" s="578">
        <f t="shared" si="5"/>
        <v>265.0264557006912</v>
      </c>
      <c r="P22" s="578">
        <f t="shared" si="6"/>
        <v>26.292307113163812</v>
      </c>
      <c r="Q22" s="578">
        <f t="shared" si="7"/>
        <v>0.31550768535796581</v>
      </c>
      <c r="R22" s="578">
        <f t="shared" si="8"/>
        <v>66.2566139251728</v>
      </c>
    </row>
    <row r="23" spans="1:18" ht="15.75" x14ac:dyDescent="0.25">
      <c r="A23" s="616">
        <f t="shared" si="9"/>
        <v>100020</v>
      </c>
      <c r="B23" s="618" t="s">
        <v>72</v>
      </c>
      <c r="C23" s="626">
        <v>4100</v>
      </c>
      <c r="D23" s="627">
        <v>0.84000000000000008</v>
      </c>
      <c r="E23" s="24" t="s">
        <v>224</v>
      </c>
      <c r="F23" s="602">
        <v>6.7200000000000006</v>
      </c>
      <c r="G23" s="602">
        <v>8.2200000000000006</v>
      </c>
      <c r="H23" s="609">
        <v>0.21</v>
      </c>
      <c r="I23" s="577">
        <v>5.1954204213616869E-3</v>
      </c>
      <c r="J23" s="578">
        <f t="shared" si="0"/>
        <v>72609.186375379766</v>
      </c>
      <c r="K23" s="578">
        <f t="shared" si="1"/>
        <v>17.70955765253165</v>
      </c>
      <c r="L23" s="578">
        <f t="shared" si="2"/>
        <v>1558.4410734227852</v>
      </c>
      <c r="M23" s="578">
        <f>+L23/8</f>
        <v>194.80513417784815</v>
      </c>
      <c r="N23" s="578">
        <f t="shared" si="4"/>
        <v>6389608.4010334192</v>
      </c>
      <c r="O23" s="578">
        <f t="shared" si="5"/>
        <v>1601.298202941912</v>
      </c>
      <c r="P23" s="578">
        <f t="shared" si="6"/>
        <v>48.701283544462036</v>
      </c>
      <c r="Q23" s="578">
        <f t="shared" si="7"/>
        <v>10.227269544337027</v>
      </c>
      <c r="R23" s="578">
        <f t="shared" si="8"/>
        <v>400.324550735478</v>
      </c>
    </row>
    <row r="24" spans="1:18" ht="15.75" x14ac:dyDescent="0.25">
      <c r="A24" s="616">
        <f>+A23+1</f>
        <v>100021</v>
      </c>
      <c r="B24" s="617" t="s">
        <v>73</v>
      </c>
      <c r="C24" s="628">
        <v>3300</v>
      </c>
      <c r="D24" s="629">
        <v>2.5499999999999998</v>
      </c>
      <c r="E24" s="24" t="s">
        <v>223</v>
      </c>
      <c r="F24" s="603">
        <v>10.199999999999999</v>
      </c>
      <c r="G24" s="603">
        <v>11.7</v>
      </c>
      <c r="H24" s="610">
        <v>0.21</v>
      </c>
      <c r="I24" s="577">
        <v>7.8910293316201436E-3</v>
      </c>
      <c r="J24" s="578">
        <f t="shared" si="0"/>
        <v>110281.97392407098</v>
      </c>
      <c r="K24" s="578">
        <f t="shared" si="1"/>
        <v>33.418779976991203</v>
      </c>
      <c r="L24" s="578">
        <f t="shared" si="2"/>
        <v>2940.8526379752257</v>
      </c>
      <c r="M24" s="578">
        <f>+L24/4</f>
        <v>735.21315949380642</v>
      </c>
      <c r="N24" s="578">
        <f t="shared" si="4"/>
        <v>9704813.7053182442</v>
      </c>
      <c r="O24" s="578">
        <f t="shared" si="5"/>
        <v>8601.9939660775344</v>
      </c>
      <c r="P24" s="578">
        <f t="shared" si="6"/>
        <v>183.8032898734516</v>
      </c>
      <c r="Q24" s="578">
        <f t="shared" si="7"/>
        <v>38.598690873424836</v>
      </c>
      <c r="R24" s="578">
        <f t="shared" si="8"/>
        <v>2150.4984915193836</v>
      </c>
    </row>
    <row r="25" spans="1:18" ht="15.75" x14ac:dyDescent="0.25">
      <c r="A25" s="616">
        <f t="shared" si="9"/>
        <v>100022</v>
      </c>
      <c r="B25" s="617" t="s">
        <v>76</v>
      </c>
      <c r="C25" s="628">
        <v>3000</v>
      </c>
      <c r="D25" s="629">
        <v>1.7879999999999998</v>
      </c>
      <c r="E25" s="24" t="s">
        <v>223</v>
      </c>
      <c r="F25" s="603">
        <v>7.1519999999999992</v>
      </c>
      <c r="G25" s="603">
        <v>8.6519999999999992</v>
      </c>
      <c r="H25" s="610">
        <v>0.21</v>
      </c>
      <c r="I25" s="577">
        <v>9.4692351979441727E-3</v>
      </c>
      <c r="J25" s="578">
        <f t="shared" si="0"/>
        <v>132338.36870888519</v>
      </c>
      <c r="K25" s="578">
        <f t="shared" si="1"/>
        <v>44.112789569628397</v>
      </c>
      <c r="L25" s="578">
        <f t="shared" si="2"/>
        <v>3881.9254821272989</v>
      </c>
      <c r="M25" s="578">
        <f t="shared" ref="M25:M32" si="13">+L25/4</f>
        <v>970.48137053182472</v>
      </c>
      <c r="N25" s="578">
        <f t="shared" si="4"/>
        <v>11645776.446381897</v>
      </c>
      <c r="O25" s="578">
        <f t="shared" si="5"/>
        <v>8396.6048178413475</v>
      </c>
      <c r="P25" s="578">
        <f t="shared" si="6"/>
        <v>242.62034263295618</v>
      </c>
      <c r="Q25" s="578">
        <f t="shared" si="7"/>
        <v>50.950271952920794</v>
      </c>
      <c r="R25" s="578">
        <f t="shared" si="8"/>
        <v>2099.1512044603369</v>
      </c>
    </row>
    <row r="26" spans="1:18" ht="15.75" x14ac:dyDescent="0.25">
      <c r="A26" s="616">
        <f t="shared" si="9"/>
        <v>100023</v>
      </c>
      <c r="B26" s="617" t="s">
        <v>78</v>
      </c>
      <c r="C26" s="628">
        <v>3800</v>
      </c>
      <c r="D26" s="629">
        <v>1.02</v>
      </c>
      <c r="E26" s="24" t="s">
        <v>223</v>
      </c>
      <c r="F26" s="603">
        <v>4.08</v>
      </c>
      <c r="G26" s="603">
        <v>5.58</v>
      </c>
      <c r="H26" s="610">
        <v>0.21</v>
      </c>
      <c r="I26" s="577">
        <v>1.2625646930592231E-2</v>
      </c>
      <c r="J26" s="578">
        <f t="shared" si="0"/>
        <v>176451.15827851358</v>
      </c>
      <c r="K26" s="578">
        <f t="shared" si="1"/>
        <v>46.434515336450943</v>
      </c>
      <c r="L26" s="578">
        <f t="shared" si="2"/>
        <v>4086.237349607683</v>
      </c>
      <c r="M26" s="578">
        <f t="shared" si="13"/>
        <v>1021.5593374019207</v>
      </c>
      <c r="N26" s="578">
        <f t="shared" si="4"/>
        <v>15527701.928509194</v>
      </c>
      <c r="O26" s="578">
        <f t="shared" si="5"/>
        <v>5700.3011027027178</v>
      </c>
      <c r="P26" s="578">
        <f t="shared" si="6"/>
        <v>255.38983435048019</v>
      </c>
      <c r="Q26" s="578">
        <f t="shared" si="7"/>
        <v>53.63186521360084</v>
      </c>
      <c r="R26" s="578">
        <f t="shared" si="8"/>
        <v>1425.0752756756794</v>
      </c>
    </row>
    <row r="27" spans="1:18" ht="15.75" x14ac:dyDescent="0.25">
      <c r="A27" s="616">
        <f t="shared" si="9"/>
        <v>100024</v>
      </c>
      <c r="B27" s="619" t="s">
        <v>80</v>
      </c>
      <c r="C27" s="628">
        <v>2300</v>
      </c>
      <c r="D27" s="629">
        <v>1.1040000000000001</v>
      </c>
      <c r="E27" s="24" t="s">
        <v>223</v>
      </c>
      <c r="F27" s="603">
        <v>4.4160000000000004</v>
      </c>
      <c r="G27" s="603">
        <v>5.9160000000000004</v>
      </c>
      <c r="H27" s="610">
        <v>0.21</v>
      </c>
      <c r="I27" s="577">
        <v>1.8938470395888345E-2</v>
      </c>
      <c r="J27" s="578">
        <f t="shared" si="0"/>
        <v>264676.73741777038</v>
      </c>
      <c r="K27" s="578">
        <f t="shared" si="1"/>
        <v>115.07684235555233</v>
      </c>
      <c r="L27" s="578">
        <f t="shared" si="2"/>
        <v>10126.762127288604</v>
      </c>
      <c r="M27" s="578">
        <f t="shared" si="13"/>
        <v>2531.6905318221511</v>
      </c>
      <c r="N27" s="578">
        <f t="shared" si="4"/>
        <v>23291552.89276379</v>
      </c>
      <c r="O27" s="578">
        <f t="shared" si="5"/>
        <v>14977.481186259847</v>
      </c>
      <c r="P27" s="578">
        <f t="shared" si="6"/>
        <v>632.92263295553778</v>
      </c>
      <c r="Q27" s="578">
        <f t="shared" si="7"/>
        <v>132.91375292066292</v>
      </c>
      <c r="R27" s="578">
        <f t="shared" si="8"/>
        <v>3744.3702965649618</v>
      </c>
    </row>
    <row r="28" spans="1:18" ht="15.75" x14ac:dyDescent="0.25">
      <c r="A28" s="616">
        <f t="shared" si="9"/>
        <v>100025</v>
      </c>
      <c r="B28" s="619" t="s">
        <v>82</v>
      </c>
      <c r="C28" s="628">
        <v>3900</v>
      </c>
      <c r="D28" s="629">
        <v>2.1239999999999997</v>
      </c>
      <c r="E28" s="24" t="s">
        <v>223</v>
      </c>
      <c r="F28" s="603">
        <v>8.4959999999999987</v>
      </c>
      <c r="G28" s="603">
        <v>9.9959999999999987</v>
      </c>
      <c r="H28" s="610">
        <v>0.21</v>
      </c>
      <c r="I28" s="577">
        <v>9.4692351979441727E-3</v>
      </c>
      <c r="J28" s="578">
        <f t="shared" si="0"/>
        <v>132338.36870888519</v>
      </c>
      <c r="K28" s="578">
        <f t="shared" si="1"/>
        <v>33.932915053560308</v>
      </c>
      <c r="L28" s="578">
        <f t="shared" si="2"/>
        <v>2986.0965247133072</v>
      </c>
      <c r="M28" s="578">
        <f t="shared" si="13"/>
        <v>746.5241311783268</v>
      </c>
      <c r="N28" s="578">
        <f t="shared" si="4"/>
        <v>11645776.446381899</v>
      </c>
      <c r="O28" s="578">
        <f t="shared" si="5"/>
        <v>7462.255215258554</v>
      </c>
      <c r="P28" s="578">
        <f t="shared" si="6"/>
        <v>186.6310327945817</v>
      </c>
      <c r="Q28" s="578">
        <f t="shared" si="7"/>
        <v>39.192516886862158</v>
      </c>
      <c r="R28" s="578">
        <f t="shared" si="8"/>
        <v>1865.5638038146385</v>
      </c>
    </row>
    <row r="29" spans="1:18" ht="15.75" x14ac:dyDescent="0.25">
      <c r="A29" s="616">
        <f t="shared" si="9"/>
        <v>100026</v>
      </c>
      <c r="B29" s="619" t="s">
        <v>84</v>
      </c>
      <c r="C29" s="628">
        <v>3000</v>
      </c>
      <c r="D29" s="629">
        <v>1.1040000000000001</v>
      </c>
      <c r="E29" s="24" t="s">
        <v>223</v>
      </c>
      <c r="F29" s="603">
        <v>4.4160000000000004</v>
      </c>
      <c r="G29" s="603">
        <v>5.9160000000000004</v>
      </c>
      <c r="H29" s="610">
        <v>0.21</v>
      </c>
      <c r="I29" s="577">
        <v>2.0516676262212374E-2</v>
      </c>
      <c r="J29" s="578">
        <f t="shared" si="0"/>
        <v>286733.13220258459</v>
      </c>
      <c r="K29" s="578">
        <f t="shared" si="1"/>
        <v>95.577710734194866</v>
      </c>
      <c r="L29" s="578">
        <f t="shared" si="2"/>
        <v>8410.8385446091488</v>
      </c>
      <c r="M29" s="578">
        <f t="shared" si="13"/>
        <v>2102.7096361522872</v>
      </c>
      <c r="N29" s="578">
        <f t="shared" si="4"/>
        <v>25232515.633827448</v>
      </c>
      <c r="O29" s="578">
        <f t="shared" si="5"/>
        <v>12439.630207476932</v>
      </c>
      <c r="P29" s="578">
        <f t="shared" si="6"/>
        <v>525.6774090380718</v>
      </c>
      <c r="Q29" s="578">
        <f t="shared" si="7"/>
        <v>110.39225589799507</v>
      </c>
      <c r="R29" s="578">
        <f t="shared" si="8"/>
        <v>3109.907551869233</v>
      </c>
    </row>
    <row r="30" spans="1:18" ht="15.75" x14ac:dyDescent="0.25">
      <c r="A30" s="616">
        <f t="shared" si="9"/>
        <v>100027</v>
      </c>
      <c r="B30" s="619" t="s">
        <v>85</v>
      </c>
      <c r="C30" s="630">
        <v>4100</v>
      </c>
      <c r="D30" s="631">
        <v>2.1239999999999997</v>
      </c>
      <c r="E30" s="24" t="s">
        <v>223</v>
      </c>
      <c r="F30" s="604">
        <v>8.4959999999999987</v>
      </c>
      <c r="G30" s="604">
        <v>9.9959999999999987</v>
      </c>
      <c r="H30" s="611">
        <v>0.21</v>
      </c>
      <c r="I30" s="577">
        <v>7.8910293316201436E-3</v>
      </c>
      <c r="J30" s="578">
        <f t="shared" si="0"/>
        <v>110281.97392407098</v>
      </c>
      <c r="K30" s="578">
        <f t="shared" si="1"/>
        <v>26.898042420505117</v>
      </c>
      <c r="L30" s="578">
        <f t="shared" si="2"/>
        <v>2367.0277330044505</v>
      </c>
      <c r="M30" s="578">
        <f t="shared" si="13"/>
        <v>591.75693325111263</v>
      </c>
      <c r="N30" s="578">
        <f t="shared" si="4"/>
        <v>9704813.7053182479</v>
      </c>
      <c r="O30" s="578">
        <f t="shared" si="5"/>
        <v>5915.2023047781213</v>
      </c>
      <c r="P30" s="578">
        <f t="shared" si="6"/>
        <v>147.93923331277816</v>
      </c>
      <c r="Q30" s="578">
        <f t="shared" si="7"/>
        <v>31.067238995683411</v>
      </c>
      <c r="R30" s="578">
        <f t="shared" si="8"/>
        <v>1478.8005761945303</v>
      </c>
    </row>
    <row r="31" spans="1:18" ht="15.75" x14ac:dyDescent="0.25">
      <c r="A31" s="616">
        <f>+A30+1</f>
        <v>100028</v>
      </c>
      <c r="B31" s="619" t="s">
        <v>86</v>
      </c>
      <c r="C31" s="632">
        <v>2350</v>
      </c>
      <c r="D31" s="633">
        <v>1.2000000000000002</v>
      </c>
      <c r="E31" s="24" t="s">
        <v>216</v>
      </c>
      <c r="F31" s="605">
        <v>24.000000000000004</v>
      </c>
      <c r="G31" s="605">
        <v>25.500000000000004</v>
      </c>
      <c r="H31" s="612">
        <v>0.21</v>
      </c>
      <c r="I31" s="577">
        <v>7.8910293316201436E-3</v>
      </c>
      <c r="J31" s="578">
        <f t="shared" si="0"/>
        <v>110281.97392407098</v>
      </c>
      <c r="K31" s="578">
        <f t="shared" si="1"/>
        <v>46.928499542157859</v>
      </c>
      <c r="L31" s="578">
        <f t="shared" si="2"/>
        <v>4129.7079597098918</v>
      </c>
      <c r="M31" s="578">
        <f t="shared" ref="M31" si="14">+L31/20</f>
        <v>206.48539798549459</v>
      </c>
      <c r="N31" s="578">
        <f t="shared" si="4"/>
        <v>9704813.705318246</v>
      </c>
      <c r="O31" s="578">
        <f t="shared" si="5"/>
        <v>5265.3776486301131</v>
      </c>
      <c r="P31" s="578">
        <f t="shared" si="6"/>
        <v>51.621349496373647</v>
      </c>
      <c r="Q31" s="578">
        <f t="shared" si="7"/>
        <v>10.840483394238465</v>
      </c>
      <c r="R31" s="578">
        <f t="shared" si="8"/>
        <v>1316.3444121575283</v>
      </c>
    </row>
    <row r="32" spans="1:18" ht="15.75" x14ac:dyDescent="0.25">
      <c r="A32" s="616">
        <f t="shared" si="9"/>
        <v>100029</v>
      </c>
      <c r="B32" s="619" t="s">
        <v>89</v>
      </c>
      <c r="C32" s="632">
        <v>3000</v>
      </c>
      <c r="D32" s="633">
        <v>6</v>
      </c>
      <c r="E32" s="24" t="s">
        <v>223</v>
      </c>
      <c r="F32" s="605">
        <v>24</v>
      </c>
      <c r="G32" s="605">
        <v>25.5</v>
      </c>
      <c r="H32" s="612">
        <v>0.21</v>
      </c>
      <c r="I32" s="577">
        <v>6.3128234652961154E-3</v>
      </c>
      <c r="J32" s="578">
        <f t="shared" si="0"/>
        <v>88225.579139256792</v>
      </c>
      <c r="K32" s="578">
        <f t="shared" si="1"/>
        <v>29.408526379752264</v>
      </c>
      <c r="L32" s="578">
        <f t="shared" si="2"/>
        <v>2587.9503214181991</v>
      </c>
      <c r="M32" s="578">
        <f t="shared" si="13"/>
        <v>646.98758035454978</v>
      </c>
      <c r="N32" s="578">
        <f t="shared" si="4"/>
        <v>7763850.9642545972</v>
      </c>
      <c r="O32" s="578">
        <f t="shared" si="5"/>
        <v>16498.183299041018</v>
      </c>
      <c r="P32" s="578">
        <f t="shared" si="6"/>
        <v>161.74689508863744</v>
      </c>
      <c r="Q32" s="578">
        <f t="shared" si="7"/>
        <v>33.966847968613862</v>
      </c>
      <c r="R32" s="578">
        <f t="shared" si="8"/>
        <v>4124.5458247602546</v>
      </c>
    </row>
    <row r="33" spans="1:18" ht="15.75" x14ac:dyDescent="0.25">
      <c r="A33" s="616">
        <f t="shared" si="9"/>
        <v>100030</v>
      </c>
      <c r="B33" s="619" t="s">
        <v>91</v>
      </c>
      <c r="C33" s="632">
        <v>2300</v>
      </c>
      <c r="D33" s="633">
        <v>3</v>
      </c>
      <c r="E33" s="24" t="s">
        <v>224</v>
      </c>
      <c r="F33" s="605">
        <v>24</v>
      </c>
      <c r="G33" s="605">
        <v>25.5</v>
      </c>
      <c r="H33" s="612">
        <v>0.21</v>
      </c>
      <c r="I33" s="577">
        <v>4.7346175989720863E-3</v>
      </c>
      <c r="J33" s="578">
        <f t="shared" si="0"/>
        <v>66169.184354442594</v>
      </c>
      <c r="K33" s="578">
        <f t="shared" si="1"/>
        <v>28.769210588888082</v>
      </c>
      <c r="L33" s="578">
        <f t="shared" si="2"/>
        <v>2531.6905318221511</v>
      </c>
      <c r="M33" s="578">
        <f>+L33/8</f>
        <v>316.46131647776889</v>
      </c>
      <c r="N33" s="578">
        <f t="shared" si="4"/>
        <v>5822888.2231909474</v>
      </c>
      <c r="O33" s="578">
        <f t="shared" si="5"/>
        <v>8069.7635701831068</v>
      </c>
      <c r="P33" s="578">
        <f t="shared" si="6"/>
        <v>79.115329119442222</v>
      </c>
      <c r="Q33" s="578">
        <f t="shared" si="7"/>
        <v>16.614219115082864</v>
      </c>
      <c r="R33" s="578">
        <f t="shared" si="8"/>
        <v>2017.4408925457767</v>
      </c>
    </row>
    <row r="34" spans="1:18" ht="15.75" x14ac:dyDescent="0.25">
      <c r="A34" s="616">
        <f t="shared" si="9"/>
        <v>100031</v>
      </c>
      <c r="B34" s="619" t="s">
        <v>93</v>
      </c>
      <c r="C34" s="632">
        <v>3800</v>
      </c>
      <c r="D34" s="633">
        <v>3.5999999999999996</v>
      </c>
      <c r="E34" s="34" t="s">
        <v>233</v>
      </c>
      <c r="F34" s="605">
        <v>25.199999999999996</v>
      </c>
      <c r="G34" s="605">
        <v>26.699999999999996</v>
      </c>
      <c r="H34" s="612">
        <v>0.21</v>
      </c>
      <c r="I34" s="577">
        <v>6.3128234652961154E-3</v>
      </c>
      <c r="J34" s="578">
        <f t="shared" si="0"/>
        <v>88225.579139256792</v>
      </c>
      <c r="K34" s="578">
        <f t="shared" si="1"/>
        <v>23.217257668225471</v>
      </c>
      <c r="L34" s="578">
        <f t="shared" si="2"/>
        <v>2043.1186748038415</v>
      </c>
      <c r="M34" s="578">
        <f>+L33/7</f>
        <v>361.67007597459303</v>
      </c>
      <c r="N34" s="578">
        <f t="shared" si="4"/>
        <v>7763850.9642545972</v>
      </c>
      <c r="O34" s="578">
        <f t="shared" si="5"/>
        <v>9656.5910285216323</v>
      </c>
      <c r="P34" s="578">
        <f t="shared" si="6"/>
        <v>90.417518993648258</v>
      </c>
      <c r="Q34" s="578">
        <f t="shared" si="7"/>
        <v>18.987678988666133</v>
      </c>
      <c r="R34" s="578">
        <f t="shared" si="8"/>
        <v>2414.1477571304081</v>
      </c>
    </row>
    <row r="35" spans="1:18" ht="15.75" x14ac:dyDescent="0.25">
      <c r="A35" s="616">
        <f t="shared" si="9"/>
        <v>100032</v>
      </c>
      <c r="B35" s="619" t="s">
        <v>95</v>
      </c>
      <c r="C35" s="632">
        <v>4000</v>
      </c>
      <c r="D35" s="633">
        <v>10</v>
      </c>
      <c r="E35" s="34" t="s">
        <v>234</v>
      </c>
      <c r="F35" s="605">
        <v>20</v>
      </c>
      <c r="G35" s="605">
        <v>21.5</v>
      </c>
      <c r="H35" s="612">
        <v>0.21</v>
      </c>
      <c r="I35" s="577">
        <v>6.3128234652961154E-3</v>
      </c>
      <c r="J35" s="578">
        <f t="shared" si="0"/>
        <v>88225.579139256792</v>
      </c>
      <c r="K35" s="578">
        <f t="shared" si="1"/>
        <v>22.056394784814199</v>
      </c>
      <c r="L35" s="578">
        <f t="shared" si="2"/>
        <v>1940.9627410636494</v>
      </c>
      <c r="M35" s="578">
        <f>+L34/2</f>
        <v>1021.5593374019207</v>
      </c>
      <c r="N35" s="578">
        <f t="shared" si="4"/>
        <v>7763850.9642545981</v>
      </c>
      <c r="O35" s="578">
        <f t="shared" si="5"/>
        <v>21963.525754141298</v>
      </c>
      <c r="P35" s="578">
        <f t="shared" si="6"/>
        <v>255.38983435048019</v>
      </c>
      <c r="Q35" s="578">
        <f t="shared" si="7"/>
        <v>53.63186521360084</v>
      </c>
      <c r="R35" s="578">
        <f t="shared" si="8"/>
        <v>5490.8814385353244</v>
      </c>
    </row>
    <row r="36" spans="1:18" ht="15.75" x14ac:dyDescent="0.25">
      <c r="A36" s="616">
        <f>+A35+1</f>
        <v>100033</v>
      </c>
      <c r="B36" s="620" t="s">
        <v>22</v>
      </c>
      <c r="C36" s="632">
        <v>1910</v>
      </c>
      <c r="D36" s="633">
        <v>6.9000000000000006E-2</v>
      </c>
      <c r="E36" s="34" t="s">
        <v>216</v>
      </c>
      <c r="F36" s="605">
        <v>1.3800000000000001</v>
      </c>
      <c r="G36" s="605">
        <v>2.13</v>
      </c>
      <c r="H36" s="612">
        <v>1.2000000000000002E-2</v>
      </c>
      <c r="I36" s="577">
        <v>9.0314908671449881E-2</v>
      </c>
      <c r="J36" s="578">
        <f t="shared" si="0"/>
        <v>1262206.2324807926</v>
      </c>
      <c r="K36" s="578">
        <f t="shared" si="1"/>
        <v>660.84095941402757</v>
      </c>
      <c r="L36" s="578">
        <f t="shared" si="2"/>
        <v>58154.004428434426</v>
      </c>
      <c r="M36" s="578">
        <f t="shared" ref="M36:M39" si="15">+L36/20</f>
        <v>2907.7002214217214</v>
      </c>
      <c r="N36" s="578">
        <f t="shared" si="4"/>
        <v>111074148.45830975</v>
      </c>
      <c r="O36" s="578">
        <f t="shared" si="5"/>
        <v>6193.4014716282663</v>
      </c>
      <c r="P36" s="578">
        <f t="shared" si="6"/>
        <v>726.92505535543035</v>
      </c>
      <c r="Q36" s="578">
        <f t="shared" si="7"/>
        <v>8.7231006642651661</v>
      </c>
      <c r="R36" s="578">
        <f t="shared" si="8"/>
        <v>1548.3503679070666</v>
      </c>
    </row>
    <row r="37" spans="1:18" ht="15.75" x14ac:dyDescent="0.25">
      <c r="A37" s="616">
        <f t="shared" si="9"/>
        <v>100034</v>
      </c>
      <c r="B37" s="621" t="s">
        <v>23</v>
      </c>
      <c r="C37" s="632">
        <v>2170</v>
      </c>
      <c r="D37" s="633">
        <v>7.1999999999999995E-2</v>
      </c>
      <c r="E37" s="34" t="s">
        <v>216</v>
      </c>
      <c r="F37" s="605">
        <v>1.44</v>
      </c>
      <c r="G37" s="605">
        <v>2.19</v>
      </c>
      <c r="H37" s="612">
        <v>1.2000000000000002E-2</v>
      </c>
      <c r="I37" s="577">
        <v>8.426193680204401E-2</v>
      </c>
      <c r="J37" s="578">
        <f t="shared" si="0"/>
        <v>1177612.2387428554</v>
      </c>
      <c r="K37" s="578">
        <f t="shared" si="1"/>
        <v>542.67845103357388</v>
      </c>
      <c r="L37" s="578">
        <f t="shared" si="2"/>
        <v>47755.703690954499</v>
      </c>
      <c r="M37" s="578">
        <f t="shared" si="15"/>
        <v>2387.7851845477248</v>
      </c>
      <c r="N37" s="578">
        <f t="shared" si="4"/>
        <v>103629877.00937127</v>
      </c>
      <c r="O37" s="578">
        <f t="shared" si="5"/>
        <v>5229.2495541595172</v>
      </c>
      <c r="P37" s="578">
        <f t="shared" si="6"/>
        <v>596.94629613693121</v>
      </c>
      <c r="Q37" s="578">
        <f t="shared" si="7"/>
        <v>7.1633555536431759</v>
      </c>
      <c r="R37" s="578">
        <f t="shared" si="8"/>
        <v>1307.3123885398793</v>
      </c>
    </row>
    <row r="38" spans="1:18" ht="15.75" x14ac:dyDescent="0.25">
      <c r="A38" s="616">
        <f t="shared" si="9"/>
        <v>100035</v>
      </c>
      <c r="B38" s="621" t="s">
        <v>24</v>
      </c>
      <c r="C38" s="632">
        <v>1670</v>
      </c>
      <c r="D38" s="633">
        <v>4.8000000000000001E-2</v>
      </c>
      <c r="E38" s="34" t="s">
        <v>227</v>
      </c>
      <c r="F38" s="605">
        <v>0.86399999999999999</v>
      </c>
      <c r="G38" s="605">
        <v>1.8639999999999999</v>
      </c>
      <c r="H38" s="612">
        <v>0.03</v>
      </c>
      <c r="I38" s="577">
        <v>6.7433738076879732E-2</v>
      </c>
      <c r="J38" s="578">
        <f t="shared" si="0"/>
        <v>942427.84200501943</v>
      </c>
      <c r="K38" s="578">
        <f t="shared" si="1"/>
        <v>564.32804910480206</v>
      </c>
      <c r="L38" s="578">
        <f t="shared" si="2"/>
        <v>49660.868321222581</v>
      </c>
      <c r="M38" s="578">
        <f>+L38/18</f>
        <v>2758.9371289568098</v>
      </c>
      <c r="N38" s="578">
        <f t="shared" si="4"/>
        <v>82933650.096441716</v>
      </c>
      <c r="O38" s="578">
        <f t="shared" si="5"/>
        <v>5142.6588083754932</v>
      </c>
      <c r="P38" s="578">
        <f t="shared" si="6"/>
        <v>689.73428223920246</v>
      </c>
      <c r="Q38" s="578">
        <f t="shared" si="7"/>
        <v>20.692028467176073</v>
      </c>
      <c r="R38" s="578">
        <f t="shared" si="8"/>
        <v>1285.6647020938733</v>
      </c>
    </row>
    <row r="39" spans="1:18" ht="15.75" x14ac:dyDescent="0.25">
      <c r="A39" s="616">
        <f t="shared" si="9"/>
        <v>100036</v>
      </c>
      <c r="B39" s="621" t="s">
        <v>25</v>
      </c>
      <c r="C39" s="632">
        <v>1020</v>
      </c>
      <c r="D39" s="633">
        <v>6.5000000000000002E-2</v>
      </c>
      <c r="E39" s="34" t="s">
        <v>216</v>
      </c>
      <c r="F39" s="605">
        <v>1.3</v>
      </c>
      <c r="G39" s="605">
        <v>2.0499999999999998</v>
      </c>
      <c r="H39" s="612">
        <v>1.2000000000000002E-2</v>
      </c>
      <c r="I39" s="577">
        <v>3.3307666560733154E-2</v>
      </c>
      <c r="J39" s="578">
        <f t="shared" si="0"/>
        <v>465495.06544138718</v>
      </c>
      <c r="K39" s="578">
        <f t="shared" si="1"/>
        <v>456.36771121704624</v>
      </c>
      <c r="L39" s="578">
        <f t="shared" si="2"/>
        <v>40160.358587100069</v>
      </c>
      <c r="M39" s="578">
        <f t="shared" si="15"/>
        <v>2008.0179293550034</v>
      </c>
      <c r="N39" s="578">
        <f t="shared" si="4"/>
        <v>40963565.758842073</v>
      </c>
      <c r="O39" s="578">
        <f t="shared" si="5"/>
        <v>4116.4367551777568</v>
      </c>
      <c r="P39" s="578">
        <f t="shared" si="6"/>
        <v>502.00448233875085</v>
      </c>
      <c r="Q39" s="578">
        <f t="shared" si="7"/>
        <v>6.0240537880650109</v>
      </c>
      <c r="R39" s="578">
        <f t="shared" si="8"/>
        <v>1029.1091887944392</v>
      </c>
    </row>
    <row r="40" spans="1:18" ht="15.75" x14ac:dyDescent="0.25">
      <c r="A40" s="616">
        <f t="shared" si="9"/>
        <v>100037</v>
      </c>
      <c r="B40" s="621" t="s">
        <v>26</v>
      </c>
      <c r="C40" s="632">
        <v>1430</v>
      </c>
      <c r="D40" s="633">
        <v>8.5999999999999993E-2</v>
      </c>
      <c r="E40" s="34" t="s">
        <v>214</v>
      </c>
      <c r="F40" s="605">
        <v>1.032</v>
      </c>
      <c r="G40" s="605">
        <v>1.782</v>
      </c>
      <c r="H40" s="612">
        <v>1.2000000000000002E-2</v>
      </c>
      <c r="I40" s="577">
        <v>3.6844741548338569E-2</v>
      </c>
      <c r="J40" s="578">
        <f t="shared" si="0"/>
        <v>514927.8574331128</v>
      </c>
      <c r="K40" s="578">
        <f t="shared" si="1"/>
        <v>360.08941079238656</v>
      </c>
      <c r="L40" s="578">
        <f t="shared" si="2"/>
        <v>31687.868149730017</v>
      </c>
      <c r="M40" s="578">
        <f>+L40/12</f>
        <v>2640.6556791441681</v>
      </c>
      <c r="N40" s="578">
        <f t="shared" si="4"/>
        <v>45313651.454113923</v>
      </c>
      <c r="O40" s="578">
        <f t="shared" si="5"/>
        <v>4705.6484202349075</v>
      </c>
      <c r="P40" s="578">
        <f t="shared" si="6"/>
        <v>660.16391978604202</v>
      </c>
      <c r="Q40" s="578">
        <f t="shared" si="7"/>
        <v>7.9219670374325055</v>
      </c>
      <c r="R40" s="578">
        <f t="shared" si="8"/>
        <v>1176.4121050587269</v>
      </c>
    </row>
    <row r="41" spans="1:18" ht="15.75" x14ac:dyDescent="0.25">
      <c r="A41" s="616">
        <f t="shared" si="9"/>
        <v>100038</v>
      </c>
      <c r="B41" s="621" t="s">
        <v>27</v>
      </c>
      <c r="C41" s="632">
        <v>13260</v>
      </c>
      <c r="D41" s="633">
        <v>0.53500000000000003</v>
      </c>
      <c r="E41" s="34" t="s">
        <v>213</v>
      </c>
      <c r="F41" s="605">
        <v>12.84</v>
      </c>
      <c r="G41" s="605">
        <v>14.34</v>
      </c>
      <c r="H41" s="612">
        <v>0.21</v>
      </c>
      <c r="I41" s="577">
        <v>3.0684977748644777E-2</v>
      </c>
      <c r="J41" s="578">
        <f t="shared" si="0"/>
        <v>428841.38098140323</v>
      </c>
      <c r="K41" s="578">
        <f t="shared" si="1"/>
        <v>32.340978957873546</v>
      </c>
      <c r="L41" s="578">
        <f t="shared" si="2"/>
        <v>2846.0061482928722</v>
      </c>
      <c r="M41" s="578">
        <f>+L41/24</f>
        <v>118.58358951220301</v>
      </c>
      <c r="N41" s="578">
        <f t="shared" si="4"/>
        <v>37738041.526363485</v>
      </c>
      <c r="O41" s="578">
        <f t="shared" si="5"/>
        <v>1700.4886736049912</v>
      </c>
      <c r="P41" s="578">
        <f t="shared" si="6"/>
        <v>29.645897378050751</v>
      </c>
      <c r="Q41" s="578">
        <f t="shared" si="7"/>
        <v>6.2256384493906571</v>
      </c>
      <c r="R41" s="578">
        <f t="shared" si="8"/>
        <v>425.12216840124779</v>
      </c>
    </row>
    <row r="42" spans="1:18" ht="15.75" x14ac:dyDescent="0.25">
      <c r="A42" s="616">
        <f t="shared" si="9"/>
        <v>100039</v>
      </c>
      <c r="B42" s="621" t="s">
        <v>28</v>
      </c>
      <c r="C42" s="632">
        <v>2840</v>
      </c>
      <c r="D42" s="633">
        <v>9.2999999999999999E-2</v>
      </c>
      <c r="E42" s="34" t="s">
        <v>228</v>
      </c>
      <c r="F42" s="605">
        <v>4.4640000000000004</v>
      </c>
      <c r="G42" s="605">
        <v>5.9640000000000004</v>
      </c>
      <c r="H42" s="612">
        <v>0.21</v>
      </c>
      <c r="I42" s="577">
        <v>1.7045228335214935E-2</v>
      </c>
      <c r="J42" s="578">
        <f t="shared" si="0"/>
        <v>238217.51862732752</v>
      </c>
      <c r="K42" s="578">
        <f t="shared" si="1"/>
        <v>83.879407967368849</v>
      </c>
      <c r="L42" s="578">
        <f t="shared" si="2"/>
        <v>7381.3879011284589</v>
      </c>
      <c r="M42" s="578">
        <f>+L42/48</f>
        <v>153.7789146068429</v>
      </c>
      <c r="N42" s="578">
        <f t="shared" si="4"/>
        <v>20963141.639204822</v>
      </c>
      <c r="O42" s="578">
        <f t="shared" si="5"/>
        <v>917.13744671521113</v>
      </c>
      <c r="P42" s="578">
        <f t="shared" si="6"/>
        <v>38.444728651710726</v>
      </c>
      <c r="Q42" s="578">
        <f t="shared" si="7"/>
        <v>8.0733930168592529</v>
      </c>
      <c r="R42" s="578">
        <f t="shared" si="8"/>
        <v>229.28436167880278</v>
      </c>
    </row>
    <row r="43" spans="1:18" ht="15.75" x14ac:dyDescent="0.25">
      <c r="A43" s="616">
        <f t="shared" si="9"/>
        <v>100040</v>
      </c>
      <c r="B43" s="621" t="s">
        <v>29</v>
      </c>
      <c r="C43" s="632">
        <v>3800</v>
      </c>
      <c r="D43" s="633">
        <v>0.05</v>
      </c>
      <c r="E43" s="34" t="s">
        <v>222</v>
      </c>
      <c r="F43" s="605">
        <v>5</v>
      </c>
      <c r="G43" s="605">
        <v>6.5</v>
      </c>
      <c r="H43" s="612">
        <v>0.21</v>
      </c>
      <c r="I43" s="577">
        <v>1.5376328238439485E-2</v>
      </c>
      <c r="J43" s="578">
        <f t="shared" si="0"/>
        <v>214893.61635554599</v>
      </c>
      <c r="K43" s="578">
        <f t="shared" si="1"/>
        <v>56.550951672512106</v>
      </c>
      <c r="L43" s="578">
        <f t="shared" si="2"/>
        <v>4976.4837471810652</v>
      </c>
      <c r="M43" s="578">
        <f>+L43/100</f>
        <v>49.764837471810651</v>
      </c>
      <c r="N43" s="578">
        <f t="shared" si="4"/>
        <v>18910638.239288047</v>
      </c>
      <c r="O43" s="578">
        <f t="shared" si="5"/>
        <v>323.47144356676921</v>
      </c>
      <c r="P43" s="578">
        <f t="shared" si="6"/>
        <v>12.441209367952663</v>
      </c>
      <c r="Q43" s="578">
        <f t="shared" si="7"/>
        <v>2.6126539672700591</v>
      </c>
      <c r="R43" s="578">
        <f t="shared" si="8"/>
        <v>80.867860891692303</v>
      </c>
    </row>
    <row r="44" spans="1:18" x14ac:dyDescent="0.25">
      <c r="A44" s="616">
        <f>+A43+1</f>
        <v>100041</v>
      </c>
      <c r="B44" s="621" t="s">
        <v>106</v>
      </c>
      <c r="C44" s="634">
        <v>3440</v>
      </c>
      <c r="D44" s="635">
        <v>0.4</v>
      </c>
      <c r="E44" s="38" t="s">
        <v>213</v>
      </c>
      <c r="F44" s="606">
        <v>9.6000000000000014</v>
      </c>
      <c r="G44" s="606">
        <v>11.100000000000001</v>
      </c>
      <c r="H44" s="613">
        <v>0.21</v>
      </c>
      <c r="I44" s="577">
        <v>1.739718356852692E-2</v>
      </c>
      <c r="J44" s="578">
        <f t="shared" si="0"/>
        <v>243136.30884231502</v>
      </c>
      <c r="K44" s="578">
        <f t="shared" si="1"/>
        <v>70.679159547184597</v>
      </c>
      <c r="L44" s="578">
        <f t="shared" si="2"/>
        <v>6219.7660401522444</v>
      </c>
      <c r="M44" s="578">
        <f>+L44/44</f>
        <v>141.35831909436919</v>
      </c>
      <c r="N44" s="578">
        <f t="shared" si="4"/>
        <v>21395995.17812372</v>
      </c>
      <c r="O44" s="578">
        <f t="shared" si="5"/>
        <v>1569.0773419474983</v>
      </c>
      <c r="P44" s="578">
        <f t="shared" si="6"/>
        <v>35.339579773592298</v>
      </c>
      <c r="Q44" s="578">
        <f t="shared" si="7"/>
        <v>7.4213117524543826</v>
      </c>
      <c r="R44" s="578">
        <f t="shared" si="8"/>
        <v>392.26933548687458</v>
      </c>
    </row>
    <row r="45" spans="1:18" x14ac:dyDescent="0.25">
      <c r="A45" s="616">
        <f t="shared" si="9"/>
        <v>100042</v>
      </c>
      <c r="B45" s="621" t="s">
        <v>106</v>
      </c>
      <c r="C45" s="634">
        <v>2060</v>
      </c>
      <c r="D45" s="635">
        <v>0.2</v>
      </c>
      <c r="E45" s="38" t="s">
        <v>228</v>
      </c>
      <c r="F45" s="606">
        <v>9.6000000000000014</v>
      </c>
      <c r="G45" s="606">
        <v>11.100000000000001</v>
      </c>
      <c r="H45" s="613">
        <v>0.21</v>
      </c>
      <c r="I45" s="577">
        <v>2.0415136022876802E-2</v>
      </c>
      <c r="J45" s="578">
        <f t="shared" si="0"/>
        <v>285314.04509036487</v>
      </c>
      <c r="K45" s="578">
        <f t="shared" si="1"/>
        <v>138.50196363609945</v>
      </c>
      <c r="L45" s="578">
        <f t="shared" si="2"/>
        <v>12188.172799976752</v>
      </c>
      <c r="M45" s="578">
        <f>+L45/48</f>
        <v>253.92026666618233</v>
      </c>
      <c r="N45" s="578">
        <f t="shared" si="4"/>
        <v>25107635.96795211</v>
      </c>
      <c r="O45" s="578">
        <f t="shared" si="5"/>
        <v>2818.5149599946244</v>
      </c>
      <c r="P45" s="578">
        <f t="shared" si="6"/>
        <v>63.480066666545582</v>
      </c>
      <c r="Q45" s="578">
        <f t="shared" si="7"/>
        <v>13.330813999974572</v>
      </c>
      <c r="R45" s="578">
        <f t="shared" si="8"/>
        <v>704.6287399986561</v>
      </c>
    </row>
    <row r="46" spans="1:18" x14ac:dyDescent="0.25">
      <c r="A46" s="616">
        <f t="shared" si="9"/>
        <v>100043</v>
      </c>
      <c r="B46" s="621" t="s">
        <v>112</v>
      </c>
      <c r="C46" s="634">
        <v>2810</v>
      </c>
      <c r="D46" s="635">
        <v>0.2</v>
      </c>
      <c r="E46" s="38" t="s">
        <v>228</v>
      </c>
      <c r="F46" s="606">
        <v>9.6000000000000014</v>
      </c>
      <c r="G46" s="606">
        <v>11.100000000000001</v>
      </c>
      <c r="H46" s="613">
        <v>0.21</v>
      </c>
      <c r="I46" s="577">
        <v>1.0509866680215489E-2</v>
      </c>
      <c r="J46" s="578">
        <f t="shared" si="0"/>
        <v>146881.8318199075</v>
      </c>
      <c r="K46" s="578">
        <f t="shared" si="1"/>
        <v>52.27111452665747</v>
      </c>
      <c r="L46" s="578">
        <f t="shared" si="2"/>
        <v>4599.8580783458574</v>
      </c>
      <c r="M46" s="578">
        <f>+L46/48</f>
        <v>95.830376632205358</v>
      </c>
      <c r="N46" s="578">
        <f t="shared" si="4"/>
        <v>12925601.200151859</v>
      </c>
      <c r="O46" s="578">
        <f t="shared" si="5"/>
        <v>1063.7171806174797</v>
      </c>
      <c r="P46" s="578">
        <f t="shared" si="6"/>
        <v>23.957594158051339</v>
      </c>
      <c r="Q46" s="578">
        <f t="shared" si="7"/>
        <v>5.0310947731907811</v>
      </c>
      <c r="R46" s="578">
        <f t="shared" si="8"/>
        <v>265.92929515436992</v>
      </c>
    </row>
    <row r="47" spans="1:18" x14ac:dyDescent="0.25">
      <c r="A47" s="616">
        <f t="shared" si="9"/>
        <v>100044</v>
      </c>
      <c r="B47" s="621" t="s">
        <v>113</v>
      </c>
      <c r="C47" s="634">
        <v>4140</v>
      </c>
      <c r="D47" s="635">
        <v>0.38</v>
      </c>
      <c r="E47" s="38" t="s">
        <v>213</v>
      </c>
      <c r="F47" s="606">
        <v>9.120000000000001</v>
      </c>
      <c r="G47" s="606">
        <v>10.620000000000001</v>
      </c>
      <c r="H47" s="613">
        <v>0.21</v>
      </c>
      <c r="I47" s="577">
        <v>8.5867846919207482E-3</v>
      </c>
      <c r="J47" s="578">
        <f t="shared" si="0"/>
        <v>120005.58174222241</v>
      </c>
      <c r="K47" s="578">
        <f t="shared" si="1"/>
        <v>28.986855493290435</v>
      </c>
      <c r="L47" s="578">
        <f t="shared" si="2"/>
        <v>2550.8432834095584</v>
      </c>
      <c r="M47" s="578">
        <f>+L47/24</f>
        <v>106.28513680873159</v>
      </c>
      <c r="N47" s="578">
        <f t="shared" si="4"/>
        <v>10560491.193315571</v>
      </c>
      <c r="O47" s="578">
        <f t="shared" si="5"/>
        <v>1128.7481529087297</v>
      </c>
      <c r="P47" s="578">
        <f t="shared" si="6"/>
        <v>26.571284202182898</v>
      </c>
      <c r="Q47" s="578">
        <f t="shared" si="7"/>
        <v>5.5799696824584082</v>
      </c>
      <c r="R47" s="578">
        <f t="shared" si="8"/>
        <v>282.18703822718243</v>
      </c>
    </row>
    <row r="48" spans="1:18" x14ac:dyDescent="0.25">
      <c r="A48" s="616">
        <f t="shared" si="9"/>
        <v>100045</v>
      </c>
      <c r="B48" s="621" t="s">
        <v>116</v>
      </c>
      <c r="C48" s="634">
        <v>2150</v>
      </c>
      <c r="D48" s="635">
        <v>0.2</v>
      </c>
      <c r="E48" s="38" t="s">
        <v>228</v>
      </c>
      <c r="F48" s="606">
        <v>9.6000000000000014</v>
      </c>
      <c r="G48" s="606">
        <v>11.100000000000001</v>
      </c>
      <c r="H48" s="613">
        <v>0.21</v>
      </c>
      <c r="I48" s="577">
        <v>9.3749231666469882E-3</v>
      </c>
      <c r="J48" s="578">
        <f t="shared" si="0"/>
        <v>131020.30023655487</v>
      </c>
      <c r="K48" s="578">
        <f t="shared" si="1"/>
        <v>60.939674528630171</v>
      </c>
      <c r="L48" s="578">
        <f t="shared" si="2"/>
        <v>5362.6913585194552</v>
      </c>
      <c r="M48" s="578">
        <f t="shared" ref="M48:M49" si="16">+L48/48</f>
        <v>111.72273663582199</v>
      </c>
      <c r="N48" s="578">
        <f t="shared" si="4"/>
        <v>11529786.420816829</v>
      </c>
      <c r="O48" s="578">
        <f t="shared" si="5"/>
        <v>1240.1223766576243</v>
      </c>
      <c r="P48" s="578">
        <f t="shared" si="6"/>
        <v>27.930684158955497</v>
      </c>
      <c r="Q48" s="578">
        <f t="shared" si="7"/>
        <v>5.8654436733806543</v>
      </c>
      <c r="R48" s="578">
        <f t="shared" si="8"/>
        <v>310.03059416440607</v>
      </c>
    </row>
    <row r="49" spans="1:18" x14ac:dyDescent="0.25">
      <c r="A49" s="616">
        <f t="shared" si="9"/>
        <v>100046</v>
      </c>
      <c r="B49" s="621" t="s">
        <v>118</v>
      </c>
      <c r="C49" s="634">
        <v>2150</v>
      </c>
      <c r="D49" s="635">
        <v>0.2</v>
      </c>
      <c r="E49" s="38" t="s">
        <v>228</v>
      </c>
      <c r="F49" s="606">
        <v>9.6000000000000014</v>
      </c>
      <c r="G49" s="606">
        <v>11.100000000000001</v>
      </c>
      <c r="H49" s="613">
        <v>0.21</v>
      </c>
      <c r="I49" s="577">
        <v>7.5557000599249403E-3</v>
      </c>
      <c r="J49" s="578">
        <f t="shared" si="0"/>
        <v>105595.54171821382</v>
      </c>
      <c r="K49" s="578">
        <f t="shared" si="1"/>
        <v>49.114205450332008</v>
      </c>
      <c r="L49" s="578">
        <f t="shared" si="2"/>
        <v>4322.0500796292163</v>
      </c>
      <c r="M49" s="578">
        <f t="shared" si="16"/>
        <v>90.042709992275334</v>
      </c>
      <c r="N49" s="578">
        <f t="shared" si="4"/>
        <v>9292407.6712028142</v>
      </c>
      <c r="O49" s="578">
        <f t="shared" si="5"/>
        <v>999.47408091425632</v>
      </c>
      <c r="P49" s="578">
        <f t="shared" si="6"/>
        <v>22.510677498068834</v>
      </c>
      <c r="Q49" s="578">
        <f t="shared" si="7"/>
        <v>4.7272422745944551</v>
      </c>
      <c r="R49" s="578">
        <f t="shared" si="8"/>
        <v>249.86852022856408</v>
      </c>
    </row>
    <row r="50" spans="1:18" x14ac:dyDescent="0.25">
      <c r="A50" s="616">
        <f t="shared" si="9"/>
        <v>100047</v>
      </c>
      <c r="B50" s="621" t="s">
        <v>119</v>
      </c>
      <c r="C50" s="634">
        <v>4080</v>
      </c>
      <c r="D50" s="635">
        <v>0.32500000000000001</v>
      </c>
      <c r="E50" s="40" t="s">
        <v>214</v>
      </c>
      <c r="F50" s="606">
        <v>3.9000000000000004</v>
      </c>
      <c r="G50" s="606">
        <v>5.4</v>
      </c>
      <c r="H50" s="613">
        <v>0.21</v>
      </c>
      <c r="I50" s="577">
        <v>5.4631034090536846E-3</v>
      </c>
      <c r="J50" s="578">
        <f t="shared" si="0"/>
        <v>76350.220279571993</v>
      </c>
      <c r="K50" s="578">
        <f t="shared" si="1"/>
        <v>18.713289284208823</v>
      </c>
      <c r="L50" s="578">
        <f t="shared" si="2"/>
        <v>1646.7694570103765</v>
      </c>
      <c r="M50" s="578">
        <f>+L50/12</f>
        <v>137.23078808419805</v>
      </c>
      <c r="N50" s="578">
        <f t="shared" si="4"/>
        <v>6718819.3846023362</v>
      </c>
      <c r="O50" s="578">
        <f t="shared" si="5"/>
        <v>741.04625565466949</v>
      </c>
      <c r="P50" s="578">
        <f t="shared" si="6"/>
        <v>34.307697021049513</v>
      </c>
      <c r="Q50" s="578">
        <f t="shared" si="7"/>
        <v>7.2046163744203975</v>
      </c>
      <c r="R50" s="578">
        <f t="shared" si="8"/>
        <v>185.26156391366737</v>
      </c>
    </row>
    <row r="51" spans="1:18" x14ac:dyDescent="0.25">
      <c r="A51" s="616">
        <f t="shared" si="9"/>
        <v>100048</v>
      </c>
      <c r="B51" s="621" t="s">
        <v>122</v>
      </c>
      <c r="C51" s="634">
        <v>5560</v>
      </c>
      <c r="D51" s="635">
        <v>0.45</v>
      </c>
      <c r="E51" s="40" t="s">
        <v>214</v>
      </c>
      <c r="F51" s="606">
        <v>5.4</v>
      </c>
      <c r="G51" s="606">
        <v>6.9</v>
      </c>
      <c r="H51" s="613">
        <v>0.21</v>
      </c>
      <c r="I51" s="577">
        <v>5.9928601495696839E-3</v>
      </c>
      <c r="J51" s="578">
        <f t="shared" si="0"/>
        <v>83753.895590925997</v>
      </c>
      <c r="K51" s="578">
        <f t="shared" si="1"/>
        <v>15.063650286137769</v>
      </c>
      <c r="L51" s="578">
        <f t="shared" si="2"/>
        <v>1325.6012251801237</v>
      </c>
      <c r="M51" s="578">
        <f>+L51/12</f>
        <v>110.46676876501031</v>
      </c>
      <c r="N51" s="578">
        <f t="shared" si="4"/>
        <v>7370342.8120014882</v>
      </c>
      <c r="O51" s="578">
        <f t="shared" si="5"/>
        <v>762.22070447857118</v>
      </c>
      <c r="P51" s="578">
        <f t="shared" si="6"/>
        <v>27.616692191252579</v>
      </c>
      <c r="Q51" s="578">
        <f t="shared" si="7"/>
        <v>5.7995053601630415</v>
      </c>
      <c r="R51" s="578">
        <f t="shared" si="8"/>
        <v>190.55517611964279</v>
      </c>
    </row>
    <row r="52" spans="1:18" x14ac:dyDescent="0.25">
      <c r="I52" s="762">
        <f>SUM(I4:I51)</f>
        <v>1.0000000000000002</v>
      </c>
      <c r="Q52" s="270">
        <f>SUM(Q4:Q51)</f>
        <v>1195.2917111079223</v>
      </c>
    </row>
    <row r="53" spans="1:18" x14ac:dyDescent="0.25">
      <c r="N53" s="270">
        <f>SUM(N4:N52)</f>
        <v>1229853964.2261989</v>
      </c>
      <c r="Q53" s="657">
        <f>+Q52/88</f>
        <v>13.582860353499116</v>
      </c>
    </row>
  </sheetData>
  <autoFilter ref="A3:R51"/>
  <mergeCells count="2">
    <mergeCell ref="A1:N1"/>
    <mergeCell ref="B2:I2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opLeftCell="C1" workbookViewId="0">
      <selection activeCell="Q54" sqref="Q54"/>
    </sheetView>
  </sheetViews>
  <sheetFormatPr baseColWidth="10" defaultRowHeight="15" x14ac:dyDescent="0.25"/>
  <cols>
    <col min="1" max="1" width="9" style="1" bestFit="1" customWidth="1"/>
    <col min="2" max="2" width="59" style="1" bestFit="1" customWidth="1"/>
    <col min="3" max="3" width="9.7109375" style="1" bestFit="1" customWidth="1"/>
    <col min="4" max="9" width="11.42578125" style="1"/>
    <col min="10" max="10" width="15.7109375" style="1" bestFit="1" customWidth="1"/>
    <col min="11" max="11" width="8.7109375" style="1" customWidth="1"/>
    <col min="12" max="12" width="7.7109375" style="1" customWidth="1"/>
    <col min="13" max="13" width="7.85546875" style="1" customWidth="1"/>
    <col min="14" max="14" width="14.42578125" style="1" customWidth="1"/>
    <col min="15" max="15" width="11.42578125" style="1"/>
    <col min="16" max="18" width="7.7109375" style="1" customWidth="1"/>
    <col min="19" max="16384" width="11.42578125" style="1"/>
  </cols>
  <sheetData>
    <row r="1" spans="1:18" ht="18.75" x14ac:dyDescent="0.3">
      <c r="A1" s="842" t="s">
        <v>189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</row>
    <row r="2" spans="1:18" ht="19.5" thickBot="1" x14ac:dyDescent="0.35">
      <c r="B2" s="843" t="s">
        <v>194</v>
      </c>
      <c r="C2" s="843"/>
      <c r="D2" s="843"/>
      <c r="E2" s="591"/>
      <c r="F2" s="591"/>
      <c r="G2" s="591"/>
      <c r="H2" s="591"/>
      <c r="I2" s="591"/>
      <c r="J2" s="565">
        <f>+'1-CLIENTE-RED-ENDEUDAMIEN'!H92</f>
        <v>2127314.9651480191</v>
      </c>
    </row>
    <row r="3" spans="1:18" ht="92.25" customHeight="1" x14ac:dyDescent="0.25">
      <c r="A3" s="5" t="s">
        <v>31</v>
      </c>
      <c r="B3" s="5" t="s">
        <v>2</v>
      </c>
      <c r="C3" s="5" t="s">
        <v>191</v>
      </c>
      <c r="D3" s="5" t="s">
        <v>192</v>
      </c>
      <c r="E3" s="637" t="s">
        <v>235</v>
      </c>
      <c r="F3" s="637" t="s">
        <v>209</v>
      </c>
      <c r="G3" s="637" t="s">
        <v>237</v>
      </c>
      <c r="H3" s="637" t="s">
        <v>239</v>
      </c>
      <c r="I3" s="637" t="s">
        <v>238</v>
      </c>
      <c r="J3" s="5" t="s">
        <v>193</v>
      </c>
      <c r="K3" s="5" t="s">
        <v>195</v>
      </c>
      <c r="L3" s="5" t="s">
        <v>196</v>
      </c>
      <c r="M3" s="5" t="s">
        <v>277</v>
      </c>
      <c r="N3" s="5" t="s">
        <v>197</v>
      </c>
      <c r="O3" s="615" t="s">
        <v>240</v>
      </c>
      <c r="P3" s="5" t="s">
        <v>278</v>
      </c>
      <c r="Q3" s="5" t="s">
        <v>279</v>
      </c>
      <c r="R3" s="5" t="s">
        <v>280</v>
      </c>
    </row>
    <row r="4" spans="1:18" ht="15.75" x14ac:dyDescent="0.25">
      <c r="A4" s="100">
        <v>100001</v>
      </c>
      <c r="B4" s="101" t="s">
        <v>15</v>
      </c>
      <c r="C4" s="103">
        <v>4910</v>
      </c>
      <c r="D4" s="577">
        <v>5.3518119941107528E-2</v>
      </c>
      <c r="E4" s="636">
        <v>0.48</v>
      </c>
      <c r="F4" s="636" t="s">
        <v>216</v>
      </c>
      <c r="G4" s="636">
        <v>9.6</v>
      </c>
      <c r="H4" s="636">
        <v>11.1</v>
      </c>
      <c r="I4" s="636">
        <v>0.21</v>
      </c>
      <c r="J4" s="578">
        <f>$J$2*D4</f>
        <v>113849.89745730467</v>
      </c>
      <c r="K4" s="578">
        <f>J4/C4</f>
        <v>23.187351824298304</v>
      </c>
      <c r="L4" s="578">
        <f>K4*37</f>
        <v>857.93201749903722</v>
      </c>
      <c r="M4" s="578">
        <f>+L4/20</f>
        <v>42.896600874951858</v>
      </c>
      <c r="N4" s="578">
        <f>L4*C4</f>
        <v>4212446.2059202725</v>
      </c>
      <c r="O4" s="578">
        <f t="shared" ref="O4:O49" si="0">+K4*H4</f>
        <v>257.37960524971118</v>
      </c>
      <c r="P4" s="578">
        <f>+M4/4</f>
        <v>10.724150218737964</v>
      </c>
      <c r="Q4" s="578">
        <f>+P4*H4</f>
        <v>119.03806742799141</v>
      </c>
      <c r="R4" s="578">
        <f>+P4*G4</f>
        <v>102.95184209988446</v>
      </c>
    </row>
    <row r="5" spans="1:18" ht="15.75" x14ac:dyDescent="0.25">
      <c r="A5" s="109">
        <f>+A4+1</f>
        <v>100002</v>
      </c>
      <c r="B5" s="110" t="s">
        <v>16</v>
      </c>
      <c r="C5" s="112">
        <v>4910</v>
      </c>
      <c r="D5" s="577">
        <v>3.7601368833857216E-2</v>
      </c>
      <c r="E5" s="636">
        <v>0.48</v>
      </c>
      <c r="F5" s="636" t="s">
        <v>216</v>
      </c>
      <c r="G5" s="636">
        <v>9.6</v>
      </c>
      <c r="H5" s="636">
        <v>11.1</v>
      </c>
      <c r="I5" s="636">
        <v>0.21</v>
      </c>
      <c r="J5" s="578">
        <f>$J$2*D5</f>
        <v>79989.95463031478</v>
      </c>
      <c r="K5" s="578">
        <f t="shared" ref="K5:K51" si="1">J5/C5</f>
        <v>16.291233122263701</v>
      </c>
      <c r="L5" s="578">
        <f t="shared" ref="L5:L51" si="2">K5*37</f>
        <v>602.77562552375696</v>
      </c>
      <c r="M5" s="578">
        <f t="shared" ref="M5:M9" si="3">+L5/20</f>
        <v>30.138781276187849</v>
      </c>
      <c r="N5" s="578">
        <f t="shared" ref="N5:N49" si="4">L5*C5</f>
        <v>2959628.3213216467</v>
      </c>
      <c r="O5" s="578">
        <f t="shared" si="0"/>
        <v>180.83268765712708</v>
      </c>
      <c r="P5" s="578">
        <f t="shared" ref="P5:P51" si="5">+M5/4</f>
        <v>7.5346953190469623</v>
      </c>
      <c r="Q5" s="578">
        <f t="shared" ref="Q5:Q51" si="6">+P5*H5</f>
        <v>83.635118041421279</v>
      </c>
      <c r="R5" s="578">
        <f t="shared" ref="R5:R51" si="7">+P5*G5</f>
        <v>72.333075062850838</v>
      </c>
    </row>
    <row r="6" spans="1:18" ht="15.75" x14ac:dyDescent="0.25">
      <c r="A6" s="109">
        <f t="shared" ref="A6:A51" si="8">+A5+1</f>
        <v>100003</v>
      </c>
      <c r="B6" s="110" t="s">
        <v>17</v>
      </c>
      <c r="C6" s="112">
        <v>6000</v>
      </c>
      <c r="D6" s="577">
        <v>1.0959822872810982E-2</v>
      </c>
      <c r="E6" s="636">
        <v>0.36</v>
      </c>
      <c r="F6" s="636" t="s">
        <v>216</v>
      </c>
      <c r="G6" s="636">
        <v>7.1999999999999993</v>
      </c>
      <c r="H6" s="636">
        <v>8.6999999999999993</v>
      </c>
      <c r="I6" s="636">
        <v>0.21</v>
      </c>
      <c r="J6" s="578">
        <f t="shared" ref="J6:J51" si="9">$J$2*D6</f>
        <v>23314.995212702357</v>
      </c>
      <c r="K6" s="578">
        <f t="shared" si="1"/>
        <v>3.8858325354503926</v>
      </c>
      <c r="L6" s="578">
        <f t="shared" si="2"/>
        <v>143.77580381166453</v>
      </c>
      <c r="M6" s="578">
        <f t="shared" si="3"/>
        <v>7.1887901905832265</v>
      </c>
      <c r="N6" s="578">
        <f t="shared" si="4"/>
        <v>862654.82286998723</v>
      </c>
      <c r="O6" s="578">
        <f t="shared" si="0"/>
        <v>33.806743058418412</v>
      </c>
      <c r="P6" s="578">
        <f t="shared" si="5"/>
        <v>1.7971975476458066</v>
      </c>
      <c r="Q6" s="578">
        <f t="shared" si="6"/>
        <v>15.635618664518516</v>
      </c>
      <c r="R6" s="578">
        <f t="shared" si="7"/>
        <v>12.939822343049807</v>
      </c>
    </row>
    <row r="7" spans="1:18" ht="15.75" x14ac:dyDescent="0.25">
      <c r="A7" s="109">
        <f t="shared" si="8"/>
        <v>100004</v>
      </c>
      <c r="B7" s="110" t="s">
        <v>18</v>
      </c>
      <c r="C7" s="112">
        <v>5130</v>
      </c>
      <c r="D7" s="577">
        <v>2.0869862636506389E-2</v>
      </c>
      <c r="E7" s="636">
        <v>0.4</v>
      </c>
      <c r="F7" s="636" t="s">
        <v>216</v>
      </c>
      <c r="G7" s="636">
        <v>8</v>
      </c>
      <c r="H7" s="636">
        <v>9.5</v>
      </c>
      <c r="I7" s="636">
        <v>0.21</v>
      </c>
      <c r="J7" s="578">
        <f t="shared" si="9"/>
        <v>44396.771107223532</v>
      </c>
      <c r="K7" s="578">
        <f t="shared" si="1"/>
        <v>8.6543413464373362</v>
      </c>
      <c r="L7" s="578">
        <f t="shared" si="2"/>
        <v>320.21062981818142</v>
      </c>
      <c r="M7" s="578">
        <f t="shared" si="3"/>
        <v>16.01053149090907</v>
      </c>
      <c r="N7" s="578">
        <f t="shared" si="4"/>
        <v>1642680.5309672707</v>
      </c>
      <c r="O7" s="578">
        <f t="shared" si="0"/>
        <v>82.216242791154698</v>
      </c>
      <c r="P7" s="578">
        <f t="shared" si="5"/>
        <v>4.0026328727272675</v>
      </c>
      <c r="Q7" s="578">
        <f t="shared" si="6"/>
        <v>38.025012290909039</v>
      </c>
      <c r="R7" s="578">
        <f t="shared" si="7"/>
        <v>32.02106298181814</v>
      </c>
    </row>
    <row r="8" spans="1:18" ht="15.75" x14ac:dyDescent="0.25">
      <c r="A8" s="109">
        <f t="shared" si="8"/>
        <v>100005</v>
      </c>
      <c r="B8" s="110" t="s">
        <v>19</v>
      </c>
      <c r="C8" s="112">
        <v>8550</v>
      </c>
      <c r="D8" s="577">
        <v>1.578835457061134E-2</v>
      </c>
      <c r="E8" s="636">
        <v>0.4</v>
      </c>
      <c r="F8" s="636" t="s">
        <v>216</v>
      </c>
      <c r="G8" s="636">
        <v>8</v>
      </c>
      <c r="H8" s="636">
        <v>9.5</v>
      </c>
      <c r="I8" s="636">
        <v>0.21</v>
      </c>
      <c r="J8" s="578">
        <f t="shared" si="9"/>
        <v>33586.802953124636</v>
      </c>
      <c r="K8" s="578">
        <f t="shared" si="1"/>
        <v>3.9282810471490803</v>
      </c>
      <c r="L8" s="578">
        <f t="shared" si="2"/>
        <v>145.34639874451597</v>
      </c>
      <c r="M8" s="578">
        <f t="shared" si="3"/>
        <v>7.2673199372257979</v>
      </c>
      <c r="N8" s="578">
        <f t="shared" si="4"/>
        <v>1242711.7092656116</v>
      </c>
      <c r="O8" s="578">
        <f t="shared" si="0"/>
        <v>37.318669947916263</v>
      </c>
      <c r="P8" s="578">
        <f t="shared" si="5"/>
        <v>1.8168299843064495</v>
      </c>
      <c r="Q8" s="578">
        <f t="shared" si="6"/>
        <v>17.25988485091127</v>
      </c>
      <c r="R8" s="578">
        <f t="shared" si="7"/>
        <v>14.534639874451596</v>
      </c>
    </row>
    <row r="9" spans="1:18" ht="15.75" x14ac:dyDescent="0.25">
      <c r="A9" s="109">
        <f t="shared" si="8"/>
        <v>100006</v>
      </c>
      <c r="B9" s="110" t="s">
        <v>42</v>
      </c>
      <c r="C9" s="112">
        <v>10100</v>
      </c>
      <c r="D9" s="577">
        <v>1.7467299349658533E-2</v>
      </c>
      <c r="E9" s="636">
        <v>0.4</v>
      </c>
      <c r="F9" s="636" t="s">
        <v>216</v>
      </c>
      <c r="G9" s="636">
        <v>8</v>
      </c>
      <c r="H9" s="636">
        <v>9.5</v>
      </c>
      <c r="I9" s="636">
        <v>0.21</v>
      </c>
      <c r="J9" s="578">
        <f t="shared" si="9"/>
        <v>37158.447307248862</v>
      </c>
      <c r="K9" s="578">
        <f t="shared" si="1"/>
        <v>3.6790541888365209</v>
      </c>
      <c r="L9" s="578">
        <f t="shared" si="2"/>
        <v>136.12500498695127</v>
      </c>
      <c r="M9" s="578">
        <f t="shared" si="3"/>
        <v>6.8062502493475634</v>
      </c>
      <c r="N9" s="578">
        <f t="shared" si="4"/>
        <v>1374862.5503682077</v>
      </c>
      <c r="O9" s="578">
        <f t="shared" si="0"/>
        <v>34.951014793946946</v>
      </c>
      <c r="P9" s="578">
        <f t="shared" si="5"/>
        <v>1.7015625623368908</v>
      </c>
      <c r="Q9" s="578">
        <f t="shared" si="6"/>
        <v>16.164844342200464</v>
      </c>
      <c r="R9" s="578">
        <f t="shared" si="7"/>
        <v>13.612500498695127</v>
      </c>
    </row>
    <row r="10" spans="1:18" ht="15.75" x14ac:dyDescent="0.25">
      <c r="A10" s="109">
        <f>+A9+1</f>
        <v>100007</v>
      </c>
      <c r="B10" s="113" t="s">
        <v>43</v>
      </c>
      <c r="C10" s="115">
        <v>2340</v>
      </c>
      <c r="D10" s="577">
        <v>2.0689609453558255E-2</v>
      </c>
      <c r="E10" s="636">
        <v>0.08</v>
      </c>
      <c r="F10" s="636" t="s">
        <v>215</v>
      </c>
      <c r="G10" s="636">
        <v>2</v>
      </c>
      <c r="H10" s="636">
        <v>3.5</v>
      </c>
      <c r="I10" s="636">
        <v>0.21</v>
      </c>
      <c r="J10" s="578">
        <f t="shared" si="9"/>
        <v>44013.315813622408</v>
      </c>
      <c r="K10" s="578">
        <f t="shared" si="1"/>
        <v>18.809109322060859</v>
      </c>
      <c r="L10" s="578">
        <f t="shared" si="2"/>
        <v>695.93704491625181</v>
      </c>
      <c r="M10" s="578">
        <f>+L10/25</f>
        <v>27.837481796650071</v>
      </c>
      <c r="N10" s="578">
        <f t="shared" si="4"/>
        <v>1628492.6851040293</v>
      </c>
      <c r="O10" s="578">
        <f t="shared" si="0"/>
        <v>65.831882627213005</v>
      </c>
      <c r="P10" s="578">
        <f t="shared" si="5"/>
        <v>6.9593704491625177</v>
      </c>
      <c r="Q10" s="578">
        <f t="shared" si="6"/>
        <v>24.357796572068811</v>
      </c>
      <c r="R10" s="578">
        <f t="shared" si="7"/>
        <v>13.918740898325035</v>
      </c>
    </row>
    <row r="11" spans="1:18" ht="15.75" x14ac:dyDescent="0.25">
      <c r="A11" s="109">
        <f t="shared" si="8"/>
        <v>100008</v>
      </c>
      <c r="B11" s="113" t="s">
        <v>47</v>
      </c>
      <c r="C11" s="115">
        <v>2340</v>
      </c>
      <c r="D11" s="577">
        <v>8.7435789522680076E-3</v>
      </c>
      <c r="E11" s="636">
        <v>0.09</v>
      </c>
      <c r="F11" s="636" t="s">
        <v>215</v>
      </c>
      <c r="G11" s="636">
        <v>2.25</v>
      </c>
      <c r="H11" s="636">
        <v>3.75</v>
      </c>
      <c r="I11" s="636">
        <v>0.21</v>
      </c>
      <c r="J11" s="578">
        <f t="shared" si="9"/>
        <v>18600.346354112971</v>
      </c>
      <c r="K11" s="578">
        <f t="shared" si="1"/>
        <v>7.9488659632961411</v>
      </c>
      <c r="L11" s="578">
        <f t="shared" si="2"/>
        <v>294.10804064195725</v>
      </c>
      <c r="M11" s="578">
        <f t="shared" ref="M11:M13" si="10">+L11/25</f>
        <v>11.76432162567829</v>
      </c>
      <c r="N11" s="578">
        <f t="shared" si="4"/>
        <v>688212.81510218</v>
      </c>
      <c r="O11" s="578">
        <f t="shared" si="0"/>
        <v>29.808247362360529</v>
      </c>
      <c r="P11" s="578">
        <f t="shared" si="5"/>
        <v>2.9410804064195726</v>
      </c>
      <c r="Q11" s="578">
        <f t="shared" si="6"/>
        <v>11.029051524073397</v>
      </c>
      <c r="R11" s="578">
        <f t="shared" si="7"/>
        <v>6.6174309144440384</v>
      </c>
    </row>
    <row r="12" spans="1:18" ht="15.75" x14ac:dyDescent="0.25">
      <c r="A12" s="109">
        <f t="shared" si="8"/>
        <v>100009</v>
      </c>
      <c r="B12" s="113" t="s">
        <v>50</v>
      </c>
      <c r="C12" s="115">
        <v>2240</v>
      </c>
      <c r="D12" s="577">
        <v>3.4666989811607013E-2</v>
      </c>
      <c r="E12" s="636">
        <v>0.1</v>
      </c>
      <c r="F12" s="636" t="s">
        <v>215</v>
      </c>
      <c r="G12" s="636">
        <v>2.5</v>
      </c>
      <c r="H12" s="636">
        <v>4</v>
      </c>
      <c r="I12" s="636">
        <v>0.21</v>
      </c>
      <c r="J12" s="578">
        <f t="shared" si="9"/>
        <v>73747.606222865506</v>
      </c>
      <c r="K12" s="578">
        <f t="shared" si="1"/>
        <v>32.92303849235067</v>
      </c>
      <c r="L12" s="578">
        <f t="shared" si="2"/>
        <v>1218.1524242169749</v>
      </c>
      <c r="M12" s="578">
        <f t="shared" si="10"/>
        <v>48.726096968678995</v>
      </c>
      <c r="N12" s="578">
        <f t="shared" si="4"/>
        <v>2728661.4302460235</v>
      </c>
      <c r="O12" s="578">
        <f t="shared" si="0"/>
        <v>131.69215396940268</v>
      </c>
      <c r="P12" s="578">
        <f t="shared" si="5"/>
        <v>12.181524242169749</v>
      </c>
      <c r="Q12" s="578">
        <f t="shared" si="6"/>
        <v>48.726096968678995</v>
      </c>
      <c r="R12" s="578">
        <f t="shared" si="7"/>
        <v>30.453810605424373</v>
      </c>
    </row>
    <row r="13" spans="1:18" ht="15.75" x14ac:dyDescent="0.25">
      <c r="A13" s="109">
        <f t="shared" si="8"/>
        <v>100010</v>
      </c>
      <c r="B13" s="113" t="s">
        <v>52</v>
      </c>
      <c r="C13" s="115">
        <v>2300</v>
      </c>
      <c r="D13" s="577">
        <v>2.8351594888090376E-2</v>
      </c>
      <c r="E13" s="636">
        <v>0.36</v>
      </c>
      <c r="F13" s="636" t="s">
        <v>215</v>
      </c>
      <c r="G13" s="636">
        <v>9</v>
      </c>
      <c r="H13" s="636">
        <v>10.5</v>
      </c>
      <c r="I13" s="636">
        <v>0.21</v>
      </c>
      <c r="J13" s="578">
        <f t="shared" si="9"/>
        <v>60312.772091248735</v>
      </c>
      <c r="K13" s="578">
        <f t="shared" si="1"/>
        <v>26.222944387499449</v>
      </c>
      <c r="L13" s="578">
        <f t="shared" si="2"/>
        <v>970.24894233747966</v>
      </c>
      <c r="M13" s="578">
        <f t="shared" si="10"/>
        <v>38.809957693499186</v>
      </c>
      <c r="N13" s="578">
        <f t="shared" si="4"/>
        <v>2231572.5673762034</v>
      </c>
      <c r="O13" s="578">
        <f t="shared" si="0"/>
        <v>275.34091606874421</v>
      </c>
      <c r="P13" s="578">
        <f t="shared" si="5"/>
        <v>9.7024894233747965</v>
      </c>
      <c r="Q13" s="578">
        <f t="shared" si="6"/>
        <v>101.87613894543536</v>
      </c>
      <c r="R13" s="578">
        <f t="shared" si="7"/>
        <v>87.322404810373172</v>
      </c>
    </row>
    <row r="14" spans="1:18" ht="15.75" x14ac:dyDescent="0.25">
      <c r="A14" s="109">
        <f t="shared" si="8"/>
        <v>100011</v>
      </c>
      <c r="B14" s="113" t="s">
        <v>53</v>
      </c>
      <c r="C14" s="115">
        <v>1260</v>
      </c>
      <c r="D14" s="577">
        <v>1.8298463263697554E-2</v>
      </c>
      <c r="E14" s="636">
        <v>0.15</v>
      </c>
      <c r="F14" s="636" t="s">
        <v>216</v>
      </c>
      <c r="G14" s="636">
        <v>3</v>
      </c>
      <c r="H14" s="636">
        <v>4.5</v>
      </c>
      <c r="I14" s="636">
        <v>0.21</v>
      </c>
      <c r="J14" s="578">
        <f t="shared" si="9"/>
        <v>38926.594740075074</v>
      </c>
      <c r="K14" s="578">
        <f t="shared" si="1"/>
        <v>30.894122809583394</v>
      </c>
      <c r="L14" s="578">
        <f t="shared" si="2"/>
        <v>1143.0825439545856</v>
      </c>
      <c r="M14" s="578">
        <f t="shared" ref="M14:M20" si="11">+L14/20</f>
        <v>57.154127197729281</v>
      </c>
      <c r="N14" s="578">
        <f t="shared" si="4"/>
        <v>1440284.0053827779</v>
      </c>
      <c r="O14" s="578">
        <f t="shared" si="0"/>
        <v>139.02355264312527</v>
      </c>
      <c r="P14" s="578">
        <f t="shared" si="5"/>
        <v>14.28853179943232</v>
      </c>
      <c r="Q14" s="578">
        <f t="shared" si="6"/>
        <v>64.298393097445441</v>
      </c>
      <c r="R14" s="578">
        <f t="shared" si="7"/>
        <v>42.865595398296961</v>
      </c>
    </row>
    <row r="15" spans="1:18" ht="15.75" x14ac:dyDescent="0.25">
      <c r="A15" s="109">
        <f t="shared" si="8"/>
        <v>100012</v>
      </c>
      <c r="B15" s="113" t="s">
        <v>55</v>
      </c>
      <c r="C15" s="115">
        <v>1260</v>
      </c>
      <c r="D15" s="577">
        <v>1.4356577442554015E-2</v>
      </c>
      <c r="E15" s="636">
        <v>0.09</v>
      </c>
      <c r="F15" s="636" t="s">
        <v>216</v>
      </c>
      <c r="G15" s="636">
        <v>1.7999999999999998</v>
      </c>
      <c r="H15" s="636">
        <v>3.3</v>
      </c>
      <c r="I15" s="636">
        <v>0.21</v>
      </c>
      <c r="J15" s="578">
        <f t="shared" si="9"/>
        <v>30540.962041851632</v>
      </c>
      <c r="K15" s="578">
        <f t="shared" si="1"/>
        <v>24.23885876337431</v>
      </c>
      <c r="L15" s="578">
        <f t="shared" si="2"/>
        <v>896.83777424484947</v>
      </c>
      <c r="M15" s="578">
        <f t="shared" si="11"/>
        <v>44.841888712242472</v>
      </c>
      <c r="N15" s="578">
        <f t="shared" si="4"/>
        <v>1130015.5955485103</v>
      </c>
      <c r="O15" s="578">
        <f t="shared" si="0"/>
        <v>79.988233919135212</v>
      </c>
      <c r="P15" s="578">
        <f t="shared" si="5"/>
        <v>11.210472178060618</v>
      </c>
      <c r="Q15" s="578">
        <f t="shared" si="6"/>
        <v>36.994558187600035</v>
      </c>
      <c r="R15" s="578">
        <f t="shared" si="7"/>
        <v>20.178849920509112</v>
      </c>
    </row>
    <row r="16" spans="1:18" ht="15.75" x14ac:dyDescent="0.25">
      <c r="A16" s="109">
        <f t="shared" si="8"/>
        <v>100013</v>
      </c>
      <c r="B16" s="113" t="s">
        <v>57</v>
      </c>
      <c r="C16" s="115">
        <v>2710</v>
      </c>
      <c r="D16" s="577">
        <v>2.098811690004827E-2</v>
      </c>
      <c r="E16" s="636">
        <v>0.18</v>
      </c>
      <c r="F16" s="636" t="s">
        <v>218</v>
      </c>
      <c r="G16" s="636">
        <v>3.5999999999999996</v>
      </c>
      <c r="H16" s="636">
        <v>5.0999999999999996</v>
      </c>
      <c r="I16" s="636">
        <v>0.21</v>
      </c>
      <c r="J16" s="578">
        <f t="shared" si="9"/>
        <v>44648.335171748739</v>
      </c>
      <c r="K16" s="578">
        <f t="shared" si="1"/>
        <v>16.475400432379608</v>
      </c>
      <c r="L16" s="578">
        <f t="shared" si="2"/>
        <v>609.58981599804554</v>
      </c>
      <c r="M16" s="578">
        <f t="shared" si="11"/>
        <v>30.479490799902276</v>
      </c>
      <c r="N16" s="578">
        <f t="shared" si="4"/>
        <v>1651988.4013547034</v>
      </c>
      <c r="O16" s="578">
        <f t="shared" si="0"/>
        <v>84.024542205136001</v>
      </c>
      <c r="P16" s="578">
        <f t="shared" si="5"/>
        <v>7.619872699975569</v>
      </c>
      <c r="Q16" s="578">
        <f t="shared" si="6"/>
        <v>38.861350769875401</v>
      </c>
      <c r="R16" s="578">
        <f t="shared" si="7"/>
        <v>27.431541719912047</v>
      </c>
    </row>
    <row r="17" spans="1:18" ht="15.75" x14ac:dyDescent="0.25">
      <c r="A17" s="109">
        <f t="shared" si="8"/>
        <v>100014</v>
      </c>
      <c r="B17" s="113" t="s">
        <v>59</v>
      </c>
      <c r="C17" s="115">
        <v>1480</v>
      </c>
      <c r="D17" s="577">
        <v>2.0679468122106363E-2</v>
      </c>
      <c r="E17" s="636">
        <v>0.56000000000000005</v>
      </c>
      <c r="F17" s="636" t="s">
        <v>219</v>
      </c>
      <c r="G17" s="636">
        <v>11.200000000000001</v>
      </c>
      <c r="H17" s="636">
        <v>13.000000000000002</v>
      </c>
      <c r="I17" s="636">
        <v>0.35</v>
      </c>
      <c r="J17" s="578">
        <f t="shared" si="9"/>
        <v>43991.74200745827</v>
      </c>
      <c r="K17" s="578">
        <f t="shared" si="1"/>
        <v>29.72415000503937</v>
      </c>
      <c r="L17" s="578">
        <f t="shared" si="2"/>
        <v>1099.7935501864567</v>
      </c>
      <c r="M17" s="578">
        <f t="shared" si="11"/>
        <v>54.989677509322838</v>
      </c>
      <c r="N17" s="578">
        <f t="shared" si="4"/>
        <v>1627694.4542759559</v>
      </c>
      <c r="O17" s="578">
        <f t="shared" si="0"/>
        <v>386.41395006551187</v>
      </c>
      <c r="P17" s="578">
        <f t="shared" si="5"/>
        <v>13.74741937733071</v>
      </c>
      <c r="Q17" s="578">
        <f t="shared" si="6"/>
        <v>178.71645190529924</v>
      </c>
      <c r="R17" s="578">
        <f t="shared" si="7"/>
        <v>153.97109702610396</v>
      </c>
    </row>
    <row r="18" spans="1:18" ht="15.75" x14ac:dyDescent="0.25">
      <c r="A18" s="109">
        <f>+A17+1</f>
        <v>100015</v>
      </c>
      <c r="B18" s="116" t="s">
        <v>62</v>
      </c>
      <c r="C18" s="241">
        <v>2360</v>
      </c>
      <c r="D18" s="577">
        <v>5.4548355917159799E-2</v>
      </c>
      <c r="E18" s="636">
        <v>0.60000000000000009</v>
      </c>
      <c r="F18" s="636" t="s">
        <v>216</v>
      </c>
      <c r="G18" s="636">
        <v>12.000000000000002</v>
      </c>
      <c r="H18" s="636">
        <v>13.500000000000002</v>
      </c>
      <c r="I18" s="636">
        <v>0.21</v>
      </c>
      <c r="J18" s="578">
        <f t="shared" si="9"/>
        <v>116041.53386679455</v>
      </c>
      <c r="K18" s="578">
        <f t="shared" si="1"/>
        <v>49.170141468980738</v>
      </c>
      <c r="L18" s="578">
        <f t="shared" si="2"/>
        <v>1819.2952343522873</v>
      </c>
      <c r="M18" s="578">
        <f t="shared" si="11"/>
        <v>90.964761717614365</v>
      </c>
      <c r="N18" s="578">
        <f t="shared" si="4"/>
        <v>4293536.7530713975</v>
      </c>
      <c r="O18" s="578">
        <f t="shared" si="0"/>
        <v>663.7969098312401</v>
      </c>
      <c r="P18" s="578">
        <f t="shared" si="5"/>
        <v>22.741190429403591</v>
      </c>
      <c r="Q18" s="578">
        <f t="shared" si="6"/>
        <v>307.00607079694851</v>
      </c>
      <c r="R18" s="578">
        <f t="shared" si="7"/>
        <v>272.89428515284311</v>
      </c>
    </row>
    <row r="19" spans="1:18" ht="15.75" x14ac:dyDescent="0.25">
      <c r="A19" s="109">
        <f t="shared" si="8"/>
        <v>100016</v>
      </c>
      <c r="B19" s="116" t="s">
        <v>65</v>
      </c>
      <c r="C19" s="241">
        <v>5000</v>
      </c>
      <c r="D19" s="577">
        <v>1.2735897046611974E-2</v>
      </c>
      <c r="E19" s="636">
        <v>0.48</v>
      </c>
      <c r="F19" s="636" t="s">
        <v>218</v>
      </c>
      <c r="G19" s="636">
        <v>9.6</v>
      </c>
      <c r="H19" s="636">
        <v>11.1</v>
      </c>
      <c r="I19" s="636">
        <v>0.21</v>
      </c>
      <c r="J19" s="578">
        <f t="shared" si="9"/>
        <v>27093.264381842113</v>
      </c>
      <c r="K19" s="578">
        <f t="shared" si="1"/>
        <v>5.418652876368423</v>
      </c>
      <c r="L19" s="578">
        <f t="shared" si="2"/>
        <v>200.49015642563165</v>
      </c>
      <c r="M19" s="578">
        <f t="shared" si="11"/>
        <v>10.024507821281583</v>
      </c>
      <c r="N19" s="578">
        <f t="shared" si="4"/>
        <v>1002450.7821281583</v>
      </c>
      <c r="O19" s="578">
        <f t="shared" si="0"/>
        <v>60.147046927689495</v>
      </c>
      <c r="P19" s="578">
        <f t="shared" si="5"/>
        <v>2.5061269553203958</v>
      </c>
      <c r="Q19" s="578">
        <f t="shared" si="6"/>
        <v>27.818009204056391</v>
      </c>
      <c r="R19" s="578">
        <f t="shared" si="7"/>
        <v>24.058818771075799</v>
      </c>
    </row>
    <row r="20" spans="1:18" ht="15.75" x14ac:dyDescent="0.25">
      <c r="A20" s="109">
        <f t="shared" si="8"/>
        <v>100017</v>
      </c>
      <c r="B20" s="116" t="s">
        <v>66</v>
      </c>
      <c r="C20" s="241">
        <v>3590</v>
      </c>
      <c r="D20" s="577">
        <v>9.1809484158309283E-3</v>
      </c>
      <c r="E20" s="636">
        <v>0.2</v>
      </c>
      <c r="F20" s="636" t="s">
        <v>218</v>
      </c>
      <c r="G20" s="636">
        <v>4</v>
      </c>
      <c r="H20" s="636">
        <v>5.5</v>
      </c>
      <c r="I20" s="636">
        <v>0.21</v>
      </c>
      <c r="J20" s="578">
        <f t="shared" si="9"/>
        <v>19530.768959249133</v>
      </c>
      <c r="K20" s="578">
        <f t="shared" si="1"/>
        <v>5.4403256153897308</v>
      </c>
      <c r="L20" s="578">
        <f t="shared" si="2"/>
        <v>201.29204776942004</v>
      </c>
      <c r="M20" s="578">
        <f t="shared" si="11"/>
        <v>10.064602388471002</v>
      </c>
      <c r="N20" s="578">
        <f t="shared" si="4"/>
        <v>722638.45149221795</v>
      </c>
      <c r="O20" s="578">
        <f t="shared" si="0"/>
        <v>29.921790884643521</v>
      </c>
      <c r="P20" s="578">
        <f t="shared" si="5"/>
        <v>2.5161505971177505</v>
      </c>
      <c r="Q20" s="578">
        <f t="shared" si="6"/>
        <v>13.838828284147628</v>
      </c>
      <c r="R20" s="578">
        <f t="shared" si="7"/>
        <v>10.064602388471002</v>
      </c>
    </row>
    <row r="21" spans="1:18" ht="15.75" x14ac:dyDescent="0.25">
      <c r="A21" s="109">
        <f t="shared" si="8"/>
        <v>100018</v>
      </c>
      <c r="B21" s="116" t="s">
        <v>68</v>
      </c>
      <c r="C21" s="241">
        <v>12330</v>
      </c>
      <c r="D21" s="577">
        <v>8.7539275592806512E-3</v>
      </c>
      <c r="E21" s="636">
        <v>0.12</v>
      </c>
      <c r="F21" s="636" t="s">
        <v>215</v>
      </c>
      <c r="G21" s="636">
        <v>3</v>
      </c>
      <c r="H21" s="636">
        <v>4.5</v>
      </c>
      <c r="I21" s="636">
        <v>0.21</v>
      </c>
      <c r="J21" s="578">
        <f t="shared" si="9"/>
        <v>18622.361100679402</v>
      </c>
      <c r="K21" s="578">
        <f t="shared" si="1"/>
        <v>1.5103293674516951</v>
      </c>
      <c r="L21" s="578">
        <f t="shared" si="2"/>
        <v>55.882186595712717</v>
      </c>
      <c r="M21" s="578">
        <f t="shared" ref="M21" si="12">+L21/25</f>
        <v>2.2352874638285085</v>
      </c>
      <c r="N21" s="578">
        <f t="shared" si="4"/>
        <v>689027.36072513775</v>
      </c>
      <c r="O21" s="578">
        <f t="shared" si="0"/>
        <v>6.7964821535326276</v>
      </c>
      <c r="P21" s="578">
        <f t="shared" si="5"/>
        <v>0.55882186595712713</v>
      </c>
      <c r="Q21" s="578">
        <f t="shared" si="6"/>
        <v>2.5146983968070722</v>
      </c>
      <c r="R21" s="578">
        <f t="shared" si="7"/>
        <v>1.6764655978713814</v>
      </c>
    </row>
    <row r="22" spans="1:18" ht="15.75" x14ac:dyDescent="0.25">
      <c r="A22" s="109">
        <f t="shared" si="8"/>
        <v>100019</v>
      </c>
      <c r="B22" s="116" t="s">
        <v>70</v>
      </c>
      <c r="C22" s="241">
        <v>7480</v>
      </c>
      <c r="D22" s="577">
        <v>7.6756998964912062E-3</v>
      </c>
      <c r="E22" s="636">
        <v>8.5000000000000006E-2</v>
      </c>
      <c r="F22" s="636" t="s">
        <v>214</v>
      </c>
      <c r="G22" s="636">
        <v>1.02</v>
      </c>
      <c r="H22" s="636">
        <v>2.52</v>
      </c>
      <c r="I22" s="636">
        <v>1.2000000000000002E-2</v>
      </c>
      <c r="J22" s="578">
        <f t="shared" si="9"/>
        <v>16328.631257790845</v>
      </c>
      <c r="K22" s="578">
        <f t="shared" si="1"/>
        <v>2.182972093287546</v>
      </c>
      <c r="L22" s="578">
        <f t="shared" si="2"/>
        <v>80.769967451639204</v>
      </c>
      <c r="M22" s="578">
        <f>+L22/12</f>
        <v>6.7308306209699333</v>
      </c>
      <c r="N22" s="578">
        <f t="shared" si="4"/>
        <v>604159.35653826129</v>
      </c>
      <c r="O22" s="578">
        <f t="shared" si="0"/>
        <v>5.5010896750846161</v>
      </c>
      <c r="P22" s="578">
        <f t="shared" si="5"/>
        <v>1.6827076552424833</v>
      </c>
      <c r="Q22" s="578">
        <f t="shared" si="6"/>
        <v>4.2404232912110578</v>
      </c>
      <c r="R22" s="578">
        <f t="shared" si="7"/>
        <v>1.7163618083473331</v>
      </c>
    </row>
    <row r="23" spans="1:18" ht="15.75" x14ac:dyDescent="0.25">
      <c r="A23" s="109">
        <f t="shared" si="8"/>
        <v>100020</v>
      </c>
      <c r="B23" s="116" t="s">
        <v>72</v>
      </c>
      <c r="C23" s="241">
        <v>4100</v>
      </c>
      <c r="D23" s="577">
        <v>5.1954204213616869E-3</v>
      </c>
      <c r="E23" s="636">
        <v>0.84000000000000008</v>
      </c>
      <c r="F23" s="636" t="s">
        <v>224</v>
      </c>
      <c r="G23" s="636">
        <v>6.7200000000000006</v>
      </c>
      <c r="H23" s="636">
        <v>8.2200000000000006</v>
      </c>
      <c r="I23" s="636">
        <v>0.21</v>
      </c>
      <c r="J23" s="578">
        <f t="shared" si="9"/>
        <v>11052.295612598344</v>
      </c>
      <c r="K23" s="578">
        <f t="shared" si="1"/>
        <v>2.6956818567313032</v>
      </c>
      <c r="L23" s="578">
        <f t="shared" si="2"/>
        <v>99.740228699058221</v>
      </c>
      <c r="M23" s="578">
        <f>+L23/8</f>
        <v>12.467528587382278</v>
      </c>
      <c r="N23" s="578">
        <f t="shared" si="4"/>
        <v>408934.93766613869</v>
      </c>
      <c r="O23" s="578">
        <f t="shared" si="0"/>
        <v>22.158504862331313</v>
      </c>
      <c r="P23" s="578">
        <f t="shared" si="5"/>
        <v>3.1168821468455694</v>
      </c>
      <c r="Q23" s="578">
        <f t="shared" si="6"/>
        <v>25.620771247070582</v>
      </c>
      <c r="R23" s="578">
        <f t="shared" si="7"/>
        <v>20.945448026802229</v>
      </c>
    </row>
    <row r="24" spans="1:18" ht="15.75" x14ac:dyDescent="0.25">
      <c r="A24" s="109">
        <f>+A23+1</f>
        <v>100021</v>
      </c>
      <c r="B24" s="110" t="s">
        <v>73</v>
      </c>
      <c r="C24" s="243">
        <v>3300</v>
      </c>
      <c r="D24" s="577">
        <v>7.8910293316201436E-3</v>
      </c>
      <c r="E24" s="636">
        <v>2.5499999999999998</v>
      </c>
      <c r="F24" s="636" t="s">
        <v>223</v>
      </c>
      <c r="G24" s="636">
        <v>10.199999999999999</v>
      </c>
      <c r="H24" s="636">
        <v>11.7</v>
      </c>
      <c r="I24" s="636">
        <v>0.21</v>
      </c>
      <c r="J24" s="578">
        <f t="shared" si="9"/>
        <v>16786.704787577502</v>
      </c>
      <c r="K24" s="578">
        <f t="shared" si="1"/>
        <v>5.0868802386598491</v>
      </c>
      <c r="L24" s="578">
        <f t="shared" si="2"/>
        <v>188.21456883041441</v>
      </c>
      <c r="M24" s="578">
        <f>+L24/4</f>
        <v>47.053642207603602</v>
      </c>
      <c r="N24" s="578">
        <f t="shared" si="4"/>
        <v>621108.07714036759</v>
      </c>
      <c r="O24" s="578">
        <f t="shared" si="0"/>
        <v>59.516498792320228</v>
      </c>
      <c r="P24" s="578">
        <f t="shared" si="5"/>
        <v>11.7634105519009</v>
      </c>
      <c r="Q24" s="578">
        <f t="shared" si="6"/>
        <v>137.63190345724053</v>
      </c>
      <c r="R24" s="578">
        <f t="shared" si="7"/>
        <v>119.98678762938917</v>
      </c>
    </row>
    <row r="25" spans="1:18" ht="15.75" x14ac:dyDescent="0.25">
      <c r="A25" s="109">
        <f t="shared" si="8"/>
        <v>100022</v>
      </c>
      <c r="B25" s="110" t="s">
        <v>76</v>
      </c>
      <c r="C25" s="243">
        <v>3000</v>
      </c>
      <c r="D25" s="577">
        <v>9.4692351979441727E-3</v>
      </c>
      <c r="E25" s="636">
        <v>1.7879999999999998</v>
      </c>
      <c r="F25" s="636" t="s">
        <v>223</v>
      </c>
      <c r="G25" s="636">
        <v>7.1519999999999992</v>
      </c>
      <c r="H25" s="636">
        <v>8.6519999999999992</v>
      </c>
      <c r="I25" s="636">
        <v>0.21</v>
      </c>
      <c r="J25" s="578">
        <f t="shared" si="9"/>
        <v>20144.045745093004</v>
      </c>
      <c r="K25" s="578">
        <f t="shared" si="1"/>
        <v>6.7146819150310018</v>
      </c>
      <c r="L25" s="578">
        <f t="shared" si="2"/>
        <v>248.44323085614707</v>
      </c>
      <c r="M25" s="578">
        <f t="shared" ref="M25:M32" si="13">+L25/4</f>
        <v>62.110807714036767</v>
      </c>
      <c r="N25" s="578">
        <f t="shared" si="4"/>
        <v>745329.69256844115</v>
      </c>
      <c r="O25" s="578">
        <f t="shared" si="0"/>
        <v>58.095427928848224</v>
      </c>
      <c r="P25" s="578">
        <f t="shared" si="5"/>
        <v>15.527701928509192</v>
      </c>
      <c r="Q25" s="578">
        <f t="shared" si="6"/>
        <v>134.34567708546152</v>
      </c>
      <c r="R25" s="578">
        <f t="shared" si="7"/>
        <v>111.05412419269773</v>
      </c>
    </row>
    <row r="26" spans="1:18" ht="15.75" x14ac:dyDescent="0.25">
      <c r="A26" s="109">
        <f t="shared" si="8"/>
        <v>100023</v>
      </c>
      <c r="B26" s="110" t="s">
        <v>78</v>
      </c>
      <c r="C26" s="243">
        <v>3800</v>
      </c>
      <c r="D26" s="577">
        <v>1.2625646930592231E-2</v>
      </c>
      <c r="E26" s="636">
        <v>1.02</v>
      </c>
      <c r="F26" s="636" t="s">
        <v>223</v>
      </c>
      <c r="G26" s="636">
        <v>4.08</v>
      </c>
      <c r="H26" s="636">
        <v>5.58</v>
      </c>
      <c r="I26" s="636">
        <v>0.21</v>
      </c>
      <c r="J26" s="578">
        <f t="shared" si="9"/>
        <v>26858.727660124005</v>
      </c>
      <c r="K26" s="578">
        <f t="shared" si="1"/>
        <v>7.0680862263484219</v>
      </c>
      <c r="L26" s="578">
        <f t="shared" si="2"/>
        <v>261.51919037489159</v>
      </c>
      <c r="M26" s="578">
        <f t="shared" si="13"/>
        <v>65.379797593722898</v>
      </c>
      <c r="N26" s="578">
        <f t="shared" si="4"/>
        <v>993772.92342458805</v>
      </c>
      <c r="O26" s="578">
        <f t="shared" si="0"/>
        <v>39.439921143024193</v>
      </c>
      <c r="P26" s="578">
        <f t="shared" si="5"/>
        <v>16.344949398430725</v>
      </c>
      <c r="Q26" s="578">
        <f t="shared" si="6"/>
        <v>91.204817643243445</v>
      </c>
      <c r="R26" s="578">
        <f t="shared" si="7"/>
        <v>66.687393545597359</v>
      </c>
    </row>
    <row r="27" spans="1:18" ht="15.75" x14ac:dyDescent="0.25">
      <c r="A27" s="109">
        <f t="shared" si="8"/>
        <v>100024</v>
      </c>
      <c r="B27" s="119" t="s">
        <v>80</v>
      </c>
      <c r="C27" s="243">
        <v>2300</v>
      </c>
      <c r="D27" s="577">
        <v>1.8938470395888345E-2</v>
      </c>
      <c r="E27" s="636">
        <v>1.1040000000000001</v>
      </c>
      <c r="F27" s="636" t="s">
        <v>223</v>
      </c>
      <c r="G27" s="636">
        <v>4.4160000000000004</v>
      </c>
      <c r="H27" s="636">
        <v>5.9160000000000004</v>
      </c>
      <c r="I27" s="636">
        <v>0.21</v>
      </c>
      <c r="J27" s="578">
        <f t="shared" si="9"/>
        <v>40288.091490186009</v>
      </c>
      <c r="K27" s="578">
        <f t="shared" si="1"/>
        <v>17.516561517472176</v>
      </c>
      <c r="L27" s="578">
        <f t="shared" si="2"/>
        <v>648.11277614647054</v>
      </c>
      <c r="M27" s="578">
        <f t="shared" si="13"/>
        <v>162.02819403661763</v>
      </c>
      <c r="N27" s="578">
        <f t="shared" si="4"/>
        <v>1490659.3851368823</v>
      </c>
      <c r="O27" s="578">
        <f t="shared" si="0"/>
        <v>103.6279779373654</v>
      </c>
      <c r="P27" s="578">
        <f t="shared" si="5"/>
        <v>40.507048509154409</v>
      </c>
      <c r="Q27" s="578">
        <f t="shared" si="6"/>
        <v>239.6396989801575</v>
      </c>
      <c r="R27" s="578">
        <f t="shared" si="7"/>
        <v>178.87912621642587</v>
      </c>
    </row>
    <row r="28" spans="1:18" ht="15.75" x14ac:dyDescent="0.25">
      <c r="A28" s="109">
        <f t="shared" si="8"/>
        <v>100025</v>
      </c>
      <c r="B28" s="119" t="s">
        <v>82</v>
      </c>
      <c r="C28" s="243">
        <v>3900</v>
      </c>
      <c r="D28" s="577">
        <v>9.4692351979441727E-3</v>
      </c>
      <c r="E28" s="636">
        <v>2.1239999999999997</v>
      </c>
      <c r="F28" s="636" t="s">
        <v>223</v>
      </c>
      <c r="G28" s="636">
        <v>8.4959999999999987</v>
      </c>
      <c r="H28" s="636">
        <v>9.9959999999999987</v>
      </c>
      <c r="I28" s="636">
        <v>0.21</v>
      </c>
      <c r="J28" s="578">
        <f t="shared" si="9"/>
        <v>20144.045745093004</v>
      </c>
      <c r="K28" s="578">
        <f t="shared" si="1"/>
        <v>5.1651399346392317</v>
      </c>
      <c r="L28" s="578">
        <f t="shared" si="2"/>
        <v>191.11017758165158</v>
      </c>
      <c r="M28" s="578">
        <f t="shared" si="13"/>
        <v>47.777544395412896</v>
      </c>
      <c r="N28" s="578">
        <f t="shared" si="4"/>
        <v>745329.69256844115</v>
      </c>
      <c r="O28" s="578">
        <f t="shared" si="0"/>
        <v>51.630738786653751</v>
      </c>
      <c r="P28" s="578">
        <f t="shared" si="5"/>
        <v>11.944386098853224</v>
      </c>
      <c r="Q28" s="578">
        <f t="shared" si="6"/>
        <v>119.39608344413681</v>
      </c>
      <c r="R28" s="578">
        <f t="shared" si="7"/>
        <v>101.47950429585697</v>
      </c>
    </row>
    <row r="29" spans="1:18" ht="15.75" x14ac:dyDescent="0.25">
      <c r="A29" s="109">
        <f t="shared" si="8"/>
        <v>100026</v>
      </c>
      <c r="B29" s="119" t="s">
        <v>84</v>
      </c>
      <c r="C29" s="243">
        <v>3000</v>
      </c>
      <c r="D29" s="577">
        <v>2.0516676262212374E-2</v>
      </c>
      <c r="E29" s="636">
        <v>1.1040000000000001</v>
      </c>
      <c r="F29" s="636" t="s">
        <v>223</v>
      </c>
      <c r="G29" s="636">
        <v>4.4160000000000004</v>
      </c>
      <c r="H29" s="636">
        <v>5.9160000000000004</v>
      </c>
      <c r="I29" s="636">
        <v>0.21</v>
      </c>
      <c r="J29" s="578">
        <f t="shared" si="9"/>
        <v>43645.432447701511</v>
      </c>
      <c r="K29" s="578">
        <f t="shared" si="1"/>
        <v>14.54847748256717</v>
      </c>
      <c r="L29" s="578">
        <f t="shared" si="2"/>
        <v>538.2936668549853</v>
      </c>
      <c r="M29" s="578">
        <f t="shared" si="13"/>
        <v>134.57341671374633</v>
      </c>
      <c r="N29" s="578">
        <f t="shared" si="4"/>
        <v>1614881.0005649559</v>
      </c>
      <c r="O29" s="578">
        <f t="shared" si="0"/>
        <v>86.068792786867391</v>
      </c>
      <c r="P29" s="578">
        <f t="shared" si="5"/>
        <v>33.643354178436581</v>
      </c>
      <c r="Q29" s="578">
        <f t="shared" si="6"/>
        <v>199.03408331963084</v>
      </c>
      <c r="R29" s="578">
        <f t="shared" si="7"/>
        <v>148.56905205197594</v>
      </c>
    </row>
    <row r="30" spans="1:18" ht="15.75" x14ac:dyDescent="0.25">
      <c r="A30" s="109">
        <f t="shared" si="8"/>
        <v>100027</v>
      </c>
      <c r="B30" s="119" t="s">
        <v>85</v>
      </c>
      <c r="C30" s="118">
        <v>4100</v>
      </c>
      <c r="D30" s="577">
        <v>7.8910293316201436E-3</v>
      </c>
      <c r="E30" s="636">
        <v>2.1239999999999997</v>
      </c>
      <c r="F30" s="636" t="s">
        <v>223</v>
      </c>
      <c r="G30" s="636">
        <v>8.4959999999999987</v>
      </c>
      <c r="H30" s="636">
        <v>9.9959999999999987</v>
      </c>
      <c r="I30" s="636">
        <v>0.21</v>
      </c>
      <c r="J30" s="578">
        <f t="shared" si="9"/>
        <v>16786.704787577502</v>
      </c>
      <c r="K30" s="578">
        <f t="shared" si="1"/>
        <v>4.0943182408725614</v>
      </c>
      <c r="L30" s="578">
        <f t="shared" si="2"/>
        <v>151.48977491228476</v>
      </c>
      <c r="M30" s="578">
        <f t="shared" si="13"/>
        <v>37.87244372807119</v>
      </c>
      <c r="N30" s="578">
        <f t="shared" si="4"/>
        <v>621108.07714036747</v>
      </c>
      <c r="O30" s="578">
        <f t="shared" si="0"/>
        <v>40.926805135762116</v>
      </c>
      <c r="P30" s="578">
        <f t="shared" si="5"/>
        <v>9.4681109320177974</v>
      </c>
      <c r="Q30" s="578">
        <f t="shared" si="6"/>
        <v>94.64323687644989</v>
      </c>
      <c r="R30" s="578">
        <f t="shared" si="7"/>
        <v>80.4410704784232</v>
      </c>
    </row>
    <row r="31" spans="1:18" ht="15.75" x14ac:dyDescent="0.25">
      <c r="A31" s="109">
        <f>+A30+1</f>
        <v>100028</v>
      </c>
      <c r="B31" s="119" t="s">
        <v>86</v>
      </c>
      <c r="C31" s="245">
        <v>2350</v>
      </c>
      <c r="D31" s="577">
        <v>7.8910293316201436E-3</v>
      </c>
      <c r="E31" s="636">
        <v>1.2000000000000002</v>
      </c>
      <c r="F31" s="636" t="s">
        <v>216</v>
      </c>
      <c r="G31" s="636">
        <v>24.000000000000004</v>
      </c>
      <c r="H31" s="636">
        <v>25.500000000000004</v>
      </c>
      <c r="I31" s="636">
        <v>0.21</v>
      </c>
      <c r="J31" s="578">
        <f t="shared" si="9"/>
        <v>16786.704787577502</v>
      </c>
      <c r="K31" s="578">
        <f t="shared" si="1"/>
        <v>7.1432786330117031</v>
      </c>
      <c r="L31" s="578">
        <f t="shared" si="2"/>
        <v>264.30130942143302</v>
      </c>
      <c r="M31" s="578">
        <f t="shared" ref="M31" si="14">+L31/20</f>
        <v>13.21506547107165</v>
      </c>
      <c r="N31" s="578">
        <f t="shared" si="4"/>
        <v>621108.07714036759</v>
      </c>
      <c r="O31" s="578">
        <f t="shared" si="0"/>
        <v>182.15360514179847</v>
      </c>
      <c r="P31" s="578">
        <f t="shared" si="5"/>
        <v>3.3037663677679125</v>
      </c>
      <c r="Q31" s="578">
        <f t="shared" si="6"/>
        <v>84.246042378081782</v>
      </c>
      <c r="R31" s="578">
        <f t="shared" si="7"/>
        <v>79.290392826429908</v>
      </c>
    </row>
    <row r="32" spans="1:18" ht="15.75" x14ac:dyDescent="0.25">
      <c r="A32" s="109">
        <f t="shared" si="8"/>
        <v>100029</v>
      </c>
      <c r="B32" s="119" t="s">
        <v>89</v>
      </c>
      <c r="C32" s="245">
        <v>3000</v>
      </c>
      <c r="D32" s="577">
        <v>6.3128234652961154E-3</v>
      </c>
      <c r="E32" s="636">
        <v>6</v>
      </c>
      <c r="F32" s="636" t="s">
        <v>223</v>
      </c>
      <c r="G32" s="636">
        <v>24</v>
      </c>
      <c r="H32" s="636">
        <v>25.5</v>
      </c>
      <c r="I32" s="636">
        <v>0.21</v>
      </c>
      <c r="J32" s="578">
        <f t="shared" si="9"/>
        <v>13429.363830062002</v>
      </c>
      <c r="K32" s="578">
        <f t="shared" si="1"/>
        <v>4.4764546100206672</v>
      </c>
      <c r="L32" s="578">
        <f t="shared" si="2"/>
        <v>165.62882057076467</v>
      </c>
      <c r="M32" s="578">
        <f t="shared" si="13"/>
        <v>41.407205142691168</v>
      </c>
      <c r="N32" s="578">
        <f t="shared" si="4"/>
        <v>496886.46171229403</v>
      </c>
      <c r="O32" s="578">
        <f t="shared" si="0"/>
        <v>114.14959255552702</v>
      </c>
      <c r="P32" s="578">
        <f t="shared" si="5"/>
        <v>10.351801285672792</v>
      </c>
      <c r="Q32" s="578">
        <f t="shared" si="6"/>
        <v>263.97093278465621</v>
      </c>
      <c r="R32" s="578">
        <f t="shared" si="7"/>
        <v>248.44323085614701</v>
      </c>
    </row>
    <row r="33" spans="1:18" ht="15.75" x14ac:dyDescent="0.25">
      <c r="A33" s="109">
        <f t="shared" si="8"/>
        <v>100030</v>
      </c>
      <c r="B33" s="119" t="s">
        <v>91</v>
      </c>
      <c r="C33" s="245">
        <v>2300</v>
      </c>
      <c r="D33" s="577">
        <v>4.7346175989720863E-3</v>
      </c>
      <c r="E33" s="636">
        <v>3</v>
      </c>
      <c r="F33" s="636" t="s">
        <v>224</v>
      </c>
      <c r="G33" s="636">
        <v>24</v>
      </c>
      <c r="H33" s="636">
        <v>25.5</v>
      </c>
      <c r="I33" s="636">
        <v>0.21</v>
      </c>
      <c r="J33" s="578">
        <f t="shared" si="9"/>
        <v>10072.022872546502</v>
      </c>
      <c r="K33" s="578">
        <f t="shared" si="1"/>
        <v>4.3791403793680441</v>
      </c>
      <c r="L33" s="578">
        <f t="shared" si="2"/>
        <v>162.02819403661763</v>
      </c>
      <c r="M33" s="578">
        <f>+L33/8</f>
        <v>20.253524254577204</v>
      </c>
      <c r="N33" s="578">
        <f t="shared" si="4"/>
        <v>372664.84628422058</v>
      </c>
      <c r="O33" s="578">
        <f t="shared" si="0"/>
        <v>111.66807967388513</v>
      </c>
      <c r="P33" s="578">
        <f t="shared" si="5"/>
        <v>5.0633810636443011</v>
      </c>
      <c r="Q33" s="578">
        <f t="shared" si="6"/>
        <v>129.11621712292967</v>
      </c>
      <c r="R33" s="578">
        <f t="shared" si="7"/>
        <v>121.52114552746323</v>
      </c>
    </row>
    <row r="34" spans="1:18" ht="15.75" x14ac:dyDescent="0.25">
      <c r="A34" s="109">
        <f t="shared" si="8"/>
        <v>100031</v>
      </c>
      <c r="B34" s="119" t="s">
        <v>93</v>
      </c>
      <c r="C34" s="245">
        <v>3800</v>
      </c>
      <c r="D34" s="577">
        <v>6.3128234652961154E-3</v>
      </c>
      <c r="E34" s="636">
        <v>3.5999999999999996</v>
      </c>
      <c r="F34" s="636" t="s">
        <v>233</v>
      </c>
      <c r="G34" s="636">
        <v>25.199999999999996</v>
      </c>
      <c r="H34" s="636">
        <v>26.699999999999996</v>
      </c>
      <c r="I34" s="636">
        <v>0.21</v>
      </c>
      <c r="J34" s="578">
        <f t="shared" si="9"/>
        <v>13429.363830062002</v>
      </c>
      <c r="K34" s="578">
        <f t="shared" si="1"/>
        <v>3.5340431131742109</v>
      </c>
      <c r="L34" s="578">
        <f t="shared" si="2"/>
        <v>130.7595951874458</v>
      </c>
      <c r="M34" s="578">
        <f>+L33/7</f>
        <v>23.146884862373948</v>
      </c>
      <c r="N34" s="578">
        <f t="shared" si="4"/>
        <v>496886.46171229403</v>
      </c>
      <c r="O34" s="578">
        <f t="shared" si="0"/>
        <v>94.358951121751417</v>
      </c>
      <c r="P34" s="578">
        <f t="shared" si="5"/>
        <v>5.7867212155934871</v>
      </c>
      <c r="Q34" s="578">
        <f t="shared" si="6"/>
        <v>154.50545645634608</v>
      </c>
      <c r="R34" s="578">
        <f t="shared" si="7"/>
        <v>145.82537463295586</v>
      </c>
    </row>
    <row r="35" spans="1:18" ht="15.75" x14ac:dyDescent="0.25">
      <c r="A35" s="109">
        <f t="shared" si="8"/>
        <v>100032</v>
      </c>
      <c r="B35" s="119" t="s">
        <v>95</v>
      </c>
      <c r="C35" s="245">
        <v>4000</v>
      </c>
      <c r="D35" s="577">
        <v>6.3128234652961154E-3</v>
      </c>
      <c r="E35" s="636">
        <v>10</v>
      </c>
      <c r="F35" s="636" t="s">
        <v>234</v>
      </c>
      <c r="G35" s="636">
        <v>20</v>
      </c>
      <c r="H35" s="636">
        <v>21.5</v>
      </c>
      <c r="I35" s="636">
        <v>0.21</v>
      </c>
      <c r="J35" s="578">
        <f t="shared" si="9"/>
        <v>13429.363830062002</v>
      </c>
      <c r="K35" s="578">
        <f t="shared" si="1"/>
        <v>3.3573409575155004</v>
      </c>
      <c r="L35" s="578">
        <f t="shared" si="2"/>
        <v>124.22161542807352</v>
      </c>
      <c r="M35" s="578">
        <f>+L34/2</f>
        <v>65.379797593722898</v>
      </c>
      <c r="N35" s="578">
        <f t="shared" si="4"/>
        <v>496886.46171229408</v>
      </c>
      <c r="O35" s="578">
        <f t="shared" si="0"/>
        <v>72.182830586583265</v>
      </c>
      <c r="P35" s="578">
        <f t="shared" si="5"/>
        <v>16.344949398430725</v>
      </c>
      <c r="Q35" s="578">
        <f t="shared" si="6"/>
        <v>351.41641206626059</v>
      </c>
      <c r="R35" s="578">
        <f t="shared" si="7"/>
        <v>326.89898796861451</v>
      </c>
    </row>
    <row r="36" spans="1:18" ht="15.75" x14ac:dyDescent="0.25">
      <c r="A36" s="109">
        <f>+A35+1</f>
        <v>100033</v>
      </c>
      <c r="B36" s="120" t="s">
        <v>22</v>
      </c>
      <c r="C36" s="245">
        <v>1910</v>
      </c>
      <c r="D36" s="577">
        <v>9.0314908671449881E-2</v>
      </c>
      <c r="E36" s="636">
        <v>6.9000000000000006E-2</v>
      </c>
      <c r="F36" s="636" t="s">
        <v>216</v>
      </c>
      <c r="G36" s="636">
        <v>1.3800000000000001</v>
      </c>
      <c r="H36" s="636">
        <v>2.13</v>
      </c>
      <c r="I36" s="636">
        <v>1.2000000000000002E-2</v>
      </c>
      <c r="J36" s="578">
        <f t="shared" si="9"/>
        <v>192128.25679275193</v>
      </c>
      <c r="K36" s="578">
        <f t="shared" si="1"/>
        <v>100.59071036269735</v>
      </c>
      <c r="L36" s="578">
        <f t="shared" si="2"/>
        <v>3721.8562834198019</v>
      </c>
      <c r="M36" s="578">
        <f t="shared" ref="M36:M39" si="15">+L36/20</f>
        <v>186.0928141709901</v>
      </c>
      <c r="N36" s="578">
        <f t="shared" si="4"/>
        <v>7108745.501331822</v>
      </c>
      <c r="O36" s="578">
        <f t="shared" si="0"/>
        <v>214.25821307254535</v>
      </c>
      <c r="P36" s="578">
        <f t="shared" si="5"/>
        <v>46.523203542747524</v>
      </c>
      <c r="Q36" s="578">
        <f t="shared" si="6"/>
        <v>99.094423546052226</v>
      </c>
      <c r="R36" s="578">
        <f t="shared" si="7"/>
        <v>64.202020888991584</v>
      </c>
    </row>
    <row r="37" spans="1:18" ht="15.75" x14ac:dyDescent="0.25">
      <c r="A37" s="109">
        <f t="shared" si="8"/>
        <v>100034</v>
      </c>
      <c r="B37" s="121" t="s">
        <v>23</v>
      </c>
      <c r="C37" s="245">
        <v>2170</v>
      </c>
      <c r="D37" s="577">
        <v>8.426193680204401E-2</v>
      </c>
      <c r="E37" s="636">
        <v>7.1999999999999995E-2</v>
      </c>
      <c r="F37" s="636" t="s">
        <v>216</v>
      </c>
      <c r="G37" s="636">
        <v>1.44</v>
      </c>
      <c r="H37" s="636">
        <v>2.19</v>
      </c>
      <c r="I37" s="636">
        <v>1.2000000000000002E-2</v>
      </c>
      <c r="J37" s="578">
        <f t="shared" si="9"/>
        <v>179251.67915134484</v>
      </c>
      <c r="K37" s="578">
        <f t="shared" si="1"/>
        <v>82.604460438407756</v>
      </c>
      <c r="L37" s="578">
        <f t="shared" si="2"/>
        <v>3056.3650362210869</v>
      </c>
      <c r="M37" s="578">
        <f t="shared" si="15"/>
        <v>152.81825181105435</v>
      </c>
      <c r="N37" s="578">
        <f t="shared" si="4"/>
        <v>6632312.1285997583</v>
      </c>
      <c r="O37" s="578">
        <f t="shared" si="0"/>
        <v>180.90376836011299</v>
      </c>
      <c r="P37" s="578">
        <f t="shared" si="5"/>
        <v>38.204562952763588</v>
      </c>
      <c r="Q37" s="578">
        <f t="shared" si="6"/>
        <v>83.667992866552254</v>
      </c>
      <c r="R37" s="578">
        <f t="shared" si="7"/>
        <v>55.014570651979568</v>
      </c>
    </row>
    <row r="38" spans="1:18" ht="15.75" x14ac:dyDescent="0.25">
      <c r="A38" s="109">
        <f t="shared" si="8"/>
        <v>100035</v>
      </c>
      <c r="B38" s="121" t="s">
        <v>24</v>
      </c>
      <c r="C38" s="245">
        <v>1670</v>
      </c>
      <c r="D38" s="577">
        <v>6.7433738076879732E-2</v>
      </c>
      <c r="E38" s="636">
        <v>4.8000000000000001E-2</v>
      </c>
      <c r="F38" s="636" t="s">
        <v>227</v>
      </c>
      <c r="G38" s="636">
        <v>0.86399999999999999</v>
      </c>
      <c r="H38" s="636">
        <v>1.8639999999999999</v>
      </c>
      <c r="I38" s="636">
        <v>0.03</v>
      </c>
      <c r="J38" s="578">
        <f t="shared" si="9"/>
        <v>143452.80016681805</v>
      </c>
      <c r="K38" s="578">
        <f t="shared" si="1"/>
        <v>85.899880339412007</v>
      </c>
      <c r="L38" s="578">
        <f t="shared" si="2"/>
        <v>3178.2955725582442</v>
      </c>
      <c r="M38" s="578">
        <f>+L38/18</f>
        <v>176.57197625323579</v>
      </c>
      <c r="N38" s="578">
        <f t="shared" si="4"/>
        <v>5307753.6061722683</v>
      </c>
      <c r="O38" s="578">
        <f t="shared" si="0"/>
        <v>160.11737695266396</v>
      </c>
      <c r="P38" s="578">
        <f t="shared" si="5"/>
        <v>44.142994063308947</v>
      </c>
      <c r="Q38" s="578">
        <f t="shared" si="6"/>
        <v>82.282540934007869</v>
      </c>
      <c r="R38" s="578">
        <f t="shared" si="7"/>
        <v>38.139546870698929</v>
      </c>
    </row>
    <row r="39" spans="1:18" ht="15.75" x14ac:dyDescent="0.25">
      <c r="A39" s="109">
        <f t="shared" si="8"/>
        <v>100036</v>
      </c>
      <c r="B39" s="121" t="s">
        <v>25</v>
      </c>
      <c r="C39" s="245">
        <v>1020</v>
      </c>
      <c r="D39" s="577">
        <v>3.3307666560733154E-2</v>
      </c>
      <c r="E39" s="636">
        <v>6.5000000000000002E-2</v>
      </c>
      <c r="F39" s="636" t="s">
        <v>216</v>
      </c>
      <c r="G39" s="636">
        <v>1.3</v>
      </c>
      <c r="H39" s="636">
        <v>2.0499999999999998</v>
      </c>
      <c r="I39" s="636">
        <v>1.2000000000000002E-2</v>
      </c>
      <c r="J39" s="578">
        <f t="shared" si="9"/>
        <v>70855.897528807895</v>
      </c>
      <c r="K39" s="578">
        <f t="shared" si="1"/>
        <v>69.466566204713615</v>
      </c>
      <c r="L39" s="578">
        <f t="shared" si="2"/>
        <v>2570.2629495744036</v>
      </c>
      <c r="M39" s="578">
        <f t="shared" si="15"/>
        <v>128.51314747872019</v>
      </c>
      <c r="N39" s="578">
        <f t="shared" si="4"/>
        <v>2621668.2085658917</v>
      </c>
      <c r="O39" s="578">
        <f t="shared" si="0"/>
        <v>142.4064607196629</v>
      </c>
      <c r="P39" s="578">
        <f t="shared" si="5"/>
        <v>32.128286869680046</v>
      </c>
      <c r="Q39" s="578">
        <f t="shared" si="6"/>
        <v>65.862988082844083</v>
      </c>
      <c r="R39" s="578">
        <f t="shared" si="7"/>
        <v>41.766772930584061</v>
      </c>
    </row>
    <row r="40" spans="1:18" ht="15.75" x14ac:dyDescent="0.25">
      <c r="A40" s="109">
        <f t="shared" si="8"/>
        <v>100037</v>
      </c>
      <c r="B40" s="121" t="s">
        <v>26</v>
      </c>
      <c r="C40" s="245">
        <v>1430</v>
      </c>
      <c r="D40" s="577">
        <v>3.6844741548338569E-2</v>
      </c>
      <c r="E40" s="636">
        <v>8.5999999999999993E-2</v>
      </c>
      <c r="F40" s="636" t="s">
        <v>214</v>
      </c>
      <c r="G40" s="636">
        <v>1.032</v>
      </c>
      <c r="H40" s="636">
        <v>1.782</v>
      </c>
      <c r="I40" s="636">
        <v>1.2000000000000002E-2</v>
      </c>
      <c r="J40" s="578">
        <f t="shared" si="9"/>
        <v>78380.370082791633</v>
      </c>
      <c r="K40" s="578">
        <f t="shared" si="1"/>
        <v>54.811447610343798</v>
      </c>
      <c r="L40" s="578">
        <f t="shared" si="2"/>
        <v>2028.0235615827205</v>
      </c>
      <c r="M40" s="578">
        <f>+L40/12</f>
        <v>169.00196346522671</v>
      </c>
      <c r="N40" s="578">
        <f t="shared" si="4"/>
        <v>2900073.6930632903</v>
      </c>
      <c r="O40" s="578">
        <f t="shared" si="0"/>
        <v>97.673999641632648</v>
      </c>
      <c r="P40" s="578">
        <f t="shared" si="5"/>
        <v>42.250490866306677</v>
      </c>
      <c r="Q40" s="578">
        <f t="shared" si="6"/>
        <v>75.290374723758504</v>
      </c>
      <c r="R40" s="578">
        <f t="shared" si="7"/>
        <v>43.602506574028489</v>
      </c>
    </row>
    <row r="41" spans="1:18" ht="15.75" x14ac:dyDescent="0.25">
      <c r="A41" s="109">
        <f t="shared" si="8"/>
        <v>100038</v>
      </c>
      <c r="B41" s="121" t="s">
        <v>27</v>
      </c>
      <c r="C41" s="245">
        <v>13260</v>
      </c>
      <c r="D41" s="577">
        <v>3.0684977748644777E-2</v>
      </c>
      <c r="E41" s="636">
        <v>0.53500000000000003</v>
      </c>
      <c r="F41" s="636" t="s">
        <v>213</v>
      </c>
      <c r="G41" s="636">
        <v>12.84</v>
      </c>
      <c r="H41" s="636">
        <v>14.34</v>
      </c>
      <c r="I41" s="636">
        <v>0.21</v>
      </c>
      <c r="J41" s="578">
        <f t="shared" si="9"/>
        <v>65276.612369926006</v>
      </c>
      <c r="K41" s="578">
        <f t="shared" si="1"/>
        <v>4.9228214456957771</v>
      </c>
      <c r="L41" s="578">
        <f t="shared" si="2"/>
        <v>182.14439349074374</v>
      </c>
      <c r="M41" s="578">
        <f>+L41/24</f>
        <v>7.5893497287809888</v>
      </c>
      <c r="N41" s="578">
        <f t="shared" si="4"/>
        <v>2415234.6576872622</v>
      </c>
      <c r="O41" s="578">
        <f t="shared" si="0"/>
        <v>70.59325953127744</v>
      </c>
      <c r="P41" s="578">
        <f t="shared" si="5"/>
        <v>1.8973374321952472</v>
      </c>
      <c r="Q41" s="578">
        <f t="shared" si="6"/>
        <v>27.207818777679844</v>
      </c>
      <c r="R41" s="578">
        <f t="shared" si="7"/>
        <v>24.361812629386975</v>
      </c>
    </row>
    <row r="42" spans="1:18" ht="15.75" x14ac:dyDescent="0.25">
      <c r="A42" s="109">
        <f t="shared" si="8"/>
        <v>100039</v>
      </c>
      <c r="B42" s="121" t="s">
        <v>28</v>
      </c>
      <c r="C42" s="245">
        <v>2840</v>
      </c>
      <c r="D42" s="577">
        <v>1.7045228335214935E-2</v>
      </c>
      <c r="E42" s="636">
        <v>9.2999999999999999E-2</v>
      </c>
      <c r="F42" s="636" t="s">
        <v>228</v>
      </c>
      <c r="G42" s="636">
        <v>4.4640000000000004</v>
      </c>
      <c r="H42" s="636">
        <v>5.9640000000000004</v>
      </c>
      <c r="I42" s="636">
        <v>0.21</v>
      </c>
      <c r="J42" s="578">
        <f t="shared" si="9"/>
        <v>36260.569321867784</v>
      </c>
      <c r="K42" s="578">
        <f t="shared" si="1"/>
        <v>12.767806099249221</v>
      </c>
      <c r="L42" s="578">
        <f t="shared" si="2"/>
        <v>472.40882567222116</v>
      </c>
      <c r="M42" s="578">
        <f>+L42/48</f>
        <v>9.8418505348379401</v>
      </c>
      <c r="N42" s="578">
        <f t="shared" si="4"/>
        <v>1341641.064909108</v>
      </c>
      <c r="O42" s="578">
        <f t="shared" si="0"/>
        <v>76.147195575922353</v>
      </c>
      <c r="P42" s="578">
        <f t="shared" si="5"/>
        <v>2.460462633709485</v>
      </c>
      <c r="Q42" s="578">
        <f t="shared" si="6"/>
        <v>14.674199147443369</v>
      </c>
      <c r="R42" s="578">
        <f t="shared" si="7"/>
        <v>10.983505196879142</v>
      </c>
    </row>
    <row r="43" spans="1:18" ht="15.75" x14ac:dyDescent="0.25">
      <c r="A43" s="109">
        <f t="shared" si="8"/>
        <v>100040</v>
      </c>
      <c r="B43" s="121" t="s">
        <v>29</v>
      </c>
      <c r="C43" s="245">
        <v>3800</v>
      </c>
      <c r="D43" s="577">
        <v>1.5376328238439485E-2</v>
      </c>
      <c r="E43" s="636">
        <v>0.05</v>
      </c>
      <c r="F43" s="636" t="s">
        <v>222</v>
      </c>
      <c r="G43" s="636">
        <v>5</v>
      </c>
      <c r="H43" s="636">
        <v>6.5</v>
      </c>
      <c r="I43" s="636">
        <v>0.21</v>
      </c>
      <c r="J43" s="578">
        <f t="shared" si="9"/>
        <v>32710.293170660396</v>
      </c>
      <c r="K43" s="578">
        <f t="shared" si="1"/>
        <v>8.6079718870158928</v>
      </c>
      <c r="L43" s="578">
        <f t="shared" si="2"/>
        <v>318.49495981958802</v>
      </c>
      <c r="M43" s="578">
        <f>+L43/100</f>
        <v>3.18494959819588</v>
      </c>
      <c r="N43" s="578">
        <f t="shared" si="4"/>
        <v>1210280.8473144344</v>
      </c>
      <c r="O43" s="578">
        <f t="shared" si="0"/>
        <v>55.951817265603303</v>
      </c>
      <c r="P43" s="578">
        <f t="shared" si="5"/>
        <v>0.79623739954896999</v>
      </c>
      <c r="Q43" s="578">
        <f t="shared" si="6"/>
        <v>5.1755430970683047</v>
      </c>
      <c r="R43" s="578">
        <f t="shared" si="7"/>
        <v>3.98118699774485</v>
      </c>
    </row>
    <row r="44" spans="1:18" ht="15.75" x14ac:dyDescent="0.25">
      <c r="A44" s="109">
        <f>+A43+1</f>
        <v>100041</v>
      </c>
      <c r="B44" s="121" t="s">
        <v>106</v>
      </c>
      <c r="C44" s="247">
        <v>3440</v>
      </c>
      <c r="D44" s="577">
        <v>1.739718356852692E-2</v>
      </c>
      <c r="E44" s="636">
        <v>0.4</v>
      </c>
      <c r="F44" s="636" t="s">
        <v>213</v>
      </c>
      <c r="G44" s="636">
        <v>9.6000000000000014</v>
      </c>
      <c r="H44" s="636">
        <v>11.100000000000001</v>
      </c>
      <c r="I44" s="636">
        <v>0.21</v>
      </c>
      <c r="J44" s="578">
        <f t="shared" si="9"/>
        <v>37009.288956754535</v>
      </c>
      <c r="K44" s="578">
        <f t="shared" si="1"/>
        <v>10.75851423161469</v>
      </c>
      <c r="L44" s="578">
        <f t="shared" si="2"/>
        <v>398.06502656974351</v>
      </c>
      <c r="M44" s="578">
        <f>+L44/44</f>
        <v>9.0469324220396246</v>
      </c>
      <c r="N44" s="578">
        <f t="shared" si="4"/>
        <v>1369343.6913999177</v>
      </c>
      <c r="O44" s="578">
        <f t="shared" si="0"/>
        <v>119.41950797092308</v>
      </c>
      <c r="P44" s="578">
        <f t="shared" si="5"/>
        <v>2.2617331055099061</v>
      </c>
      <c r="Q44" s="578">
        <f t="shared" si="6"/>
        <v>25.10523747115996</v>
      </c>
      <c r="R44" s="578">
        <f t="shared" si="7"/>
        <v>21.712637812895103</v>
      </c>
    </row>
    <row r="45" spans="1:18" ht="15.75" x14ac:dyDescent="0.25">
      <c r="A45" s="109">
        <f t="shared" si="8"/>
        <v>100042</v>
      </c>
      <c r="B45" s="121" t="s">
        <v>106</v>
      </c>
      <c r="C45" s="247">
        <v>2060</v>
      </c>
      <c r="D45" s="577">
        <v>2.0415136022876802E-2</v>
      </c>
      <c r="E45" s="636">
        <v>0.2</v>
      </c>
      <c r="F45" s="636" t="s">
        <v>228</v>
      </c>
      <c r="G45" s="636">
        <v>9.6000000000000014</v>
      </c>
      <c r="H45" s="636">
        <v>11.100000000000001</v>
      </c>
      <c r="I45" s="636">
        <v>0.21</v>
      </c>
      <c r="J45" s="578">
        <f t="shared" si="9"/>
        <v>43429.424376998235</v>
      </c>
      <c r="K45" s="578">
        <f t="shared" si="1"/>
        <v>21.082244843203025</v>
      </c>
      <c r="L45" s="578">
        <f t="shared" si="2"/>
        <v>780.04305919851197</v>
      </c>
      <c r="M45" s="578">
        <f>+L45/48</f>
        <v>16.250897066635666</v>
      </c>
      <c r="N45" s="578">
        <f t="shared" si="4"/>
        <v>1606888.7019489347</v>
      </c>
      <c r="O45" s="578">
        <f t="shared" si="0"/>
        <v>234.0129177595536</v>
      </c>
      <c r="P45" s="578">
        <f t="shared" si="5"/>
        <v>4.0627242666589165</v>
      </c>
      <c r="Q45" s="578">
        <f t="shared" si="6"/>
        <v>45.09623935991398</v>
      </c>
      <c r="R45" s="578">
        <f t="shared" si="7"/>
        <v>39.002152959925603</v>
      </c>
    </row>
    <row r="46" spans="1:18" ht="15.75" x14ac:dyDescent="0.25">
      <c r="A46" s="109">
        <f t="shared" si="8"/>
        <v>100043</v>
      </c>
      <c r="B46" s="121" t="s">
        <v>112</v>
      </c>
      <c r="C46" s="247">
        <v>2810</v>
      </c>
      <c r="D46" s="577">
        <v>1.0509866680215489E-2</v>
      </c>
      <c r="E46" s="636">
        <v>0.2</v>
      </c>
      <c r="F46" s="636" t="s">
        <v>228</v>
      </c>
      <c r="G46" s="636">
        <v>9.6000000000000014</v>
      </c>
      <c r="H46" s="636">
        <v>11.100000000000001</v>
      </c>
      <c r="I46" s="636">
        <v>0.21</v>
      </c>
      <c r="J46" s="578">
        <f t="shared" si="9"/>
        <v>22357.796670532942</v>
      </c>
      <c r="K46" s="578">
        <f t="shared" si="1"/>
        <v>7.9565112706522925</v>
      </c>
      <c r="L46" s="578">
        <f t="shared" si="2"/>
        <v>294.3909170141348</v>
      </c>
      <c r="M46" s="578">
        <f>+L46/48</f>
        <v>6.1331441044611417</v>
      </c>
      <c r="N46" s="578">
        <f t="shared" si="4"/>
        <v>827238.47680971876</v>
      </c>
      <c r="O46" s="578">
        <f t="shared" si="0"/>
        <v>88.317275104240451</v>
      </c>
      <c r="P46" s="578">
        <f t="shared" si="5"/>
        <v>1.5332860261152854</v>
      </c>
      <c r="Q46" s="578">
        <f t="shared" si="6"/>
        <v>17.019474889879671</v>
      </c>
      <c r="R46" s="578">
        <f t="shared" si="7"/>
        <v>14.719545850706742</v>
      </c>
    </row>
    <row r="47" spans="1:18" ht="15.75" x14ac:dyDescent="0.25">
      <c r="A47" s="109">
        <f t="shared" si="8"/>
        <v>100044</v>
      </c>
      <c r="B47" s="121" t="s">
        <v>113</v>
      </c>
      <c r="C47" s="247">
        <v>4140</v>
      </c>
      <c r="D47" s="577">
        <v>8.5867846919207482E-3</v>
      </c>
      <c r="E47" s="636">
        <v>0.38</v>
      </c>
      <c r="F47" s="636" t="s">
        <v>213</v>
      </c>
      <c r="G47" s="636">
        <v>9.120000000000001</v>
      </c>
      <c r="H47" s="636">
        <v>10.620000000000001</v>
      </c>
      <c r="I47" s="636">
        <v>0.21</v>
      </c>
      <c r="J47" s="578">
        <f t="shared" si="9"/>
        <v>18266.79557762693</v>
      </c>
      <c r="K47" s="578">
        <f t="shared" si="1"/>
        <v>4.4122694631949102</v>
      </c>
      <c r="L47" s="578">
        <f t="shared" si="2"/>
        <v>163.25397013821168</v>
      </c>
      <c r="M47" s="578">
        <f>+L47/24</f>
        <v>6.8022487557588205</v>
      </c>
      <c r="N47" s="578">
        <f t="shared" si="4"/>
        <v>675871.43637219642</v>
      </c>
      <c r="O47" s="578">
        <f t="shared" si="0"/>
        <v>46.858301699129953</v>
      </c>
      <c r="P47" s="578">
        <f t="shared" si="5"/>
        <v>1.7005621889397051</v>
      </c>
      <c r="Q47" s="578">
        <f t="shared" si="6"/>
        <v>18.059970446539669</v>
      </c>
      <c r="R47" s="578">
        <f t="shared" si="7"/>
        <v>15.509127163130112</v>
      </c>
    </row>
    <row r="48" spans="1:18" ht="15.75" x14ac:dyDescent="0.25">
      <c r="A48" s="109">
        <f t="shared" si="8"/>
        <v>100045</v>
      </c>
      <c r="B48" s="121" t="s">
        <v>116</v>
      </c>
      <c r="C48" s="247">
        <v>2150</v>
      </c>
      <c r="D48" s="577">
        <v>9.3749231666469882E-3</v>
      </c>
      <c r="E48" s="636">
        <v>0.2</v>
      </c>
      <c r="F48" s="636" t="s">
        <v>228</v>
      </c>
      <c r="G48" s="636">
        <v>9.6000000000000014</v>
      </c>
      <c r="H48" s="636">
        <v>11.100000000000001</v>
      </c>
      <c r="I48" s="636">
        <v>0.21</v>
      </c>
      <c r="J48" s="578">
        <f t="shared" si="9"/>
        <v>19943.414349520994</v>
      </c>
      <c r="K48" s="578">
        <f t="shared" si="1"/>
        <v>9.2760066741958109</v>
      </c>
      <c r="L48" s="578">
        <f t="shared" si="2"/>
        <v>343.212246945245</v>
      </c>
      <c r="M48" s="578">
        <f t="shared" ref="M48:M49" si="16">+L48/48</f>
        <v>7.1502551446926041</v>
      </c>
      <c r="N48" s="578">
        <f t="shared" si="4"/>
        <v>737906.33093227679</v>
      </c>
      <c r="O48" s="578">
        <f t="shared" si="0"/>
        <v>102.96367408357351</v>
      </c>
      <c r="P48" s="578">
        <f t="shared" si="5"/>
        <v>1.787563786173151</v>
      </c>
      <c r="Q48" s="578">
        <f t="shared" si="6"/>
        <v>19.841958026521979</v>
      </c>
      <c r="R48" s="578">
        <f t="shared" si="7"/>
        <v>17.160612347262251</v>
      </c>
    </row>
    <row r="49" spans="1:18" ht="15.75" x14ac:dyDescent="0.25">
      <c r="A49" s="109">
        <f t="shared" si="8"/>
        <v>100046</v>
      </c>
      <c r="B49" s="121" t="s">
        <v>118</v>
      </c>
      <c r="C49" s="247">
        <v>2150</v>
      </c>
      <c r="D49" s="577">
        <v>7.5557000599249403E-3</v>
      </c>
      <c r="E49" s="636">
        <v>0.2</v>
      </c>
      <c r="F49" s="636" t="s">
        <v>228</v>
      </c>
      <c r="G49" s="636">
        <v>9.6000000000000014</v>
      </c>
      <c r="H49" s="636">
        <v>11.100000000000001</v>
      </c>
      <c r="I49" s="636">
        <v>0.21</v>
      </c>
      <c r="J49" s="578">
        <f t="shared" si="9"/>
        <v>16073.35380964811</v>
      </c>
      <c r="K49" s="578">
        <f t="shared" si="1"/>
        <v>7.4759785161153998</v>
      </c>
      <c r="L49" s="578">
        <f t="shared" si="2"/>
        <v>276.61120509626977</v>
      </c>
      <c r="M49" s="578">
        <f t="shared" si="16"/>
        <v>5.7627334395056202</v>
      </c>
      <c r="N49" s="578">
        <f t="shared" si="4"/>
        <v>594714.09095698001</v>
      </c>
      <c r="O49" s="578">
        <f t="shared" si="0"/>
        <v>82.983361528880948</v>
      </c>
      <c r="P49" s="578">
        <f t="shared" si="5"/>
        <v>1.4406833598764051</v>
      </c>
      <c r="Q49" s="578">
        <f t="shared" si="6"/>
        <v>15.991585294628099</v>
      </c>
      <c r="R49" s="578">
        <f t="shared" si="7"/>
        <v>13.830560254813491</v>
      </c>
    </row>
    <row r="50" spans="1:18" ht="15.75" x14ac:dyDescent="0.25">
      <c r="A50" s="109">
        <f t="shared" si="8"/>
        <v>100047</v>
      </c>
      <c r="B50" s="121" t="s">
        <v>119</v>
      </c>
      <c r="C50" s="247">
        <v>4080</v>
      </c>
      <c r="D50" s="577">
        <v>5.4631034090536846E-3</v>
      </c>
      <c r="E50" s="636">
        <v>0.32500000000000001</v>
      </c>
      <c r="F50" s="636" t="s">
        <v>214</v>
      </c>
      <c r="G50" s="636">
        <v>3.9000000000000004</v>
      </c>
      <c r="H50" s="636">
        <v>5.4</v>
      </c>
      <c r="I50" s="636">
        <v>0.21</v>
      </c>
      <c r="J50" s="578">
        <f t="shared" si="9"/>
        <v>11621.741638231064</v>
      </c>
      <c r="K50" s="578">
        <f t="shared" si="1"/>
        <v>2.8484660878017314</v>
      </c>
      <c r="L50" s="578">
        <f t="shared" si="2"/>
        <v>105.39324524866406</v>
      </c>
      <c r="M50" s="578">
        <f>+L50/12</f>
        <v>8.7827704373886721</v>
      </c>
      <c r="N50" s="578">
        <f t="shared" ref="N50:N51" si="17">L50*C50</f>
        <v>430004.44061454938</v>
      </c>
      <c r="O50" s="578">
        <f t="shared" ref="O50:O51" si="18">+K50*H50</f>
        <v>15.381716874129351</v>
      </c>
      <c r="P50" s="578">
        <f t="shared" si="5"/>
        <v>2.195692609347168</v>
      </c>
      <c r="Q50" s="578">
        <f t="shared" si="6"/>
        <v>11.856740090474709</v>
      </c>
      <c r="R50" s="578">
        <f t="shared" si="7"/>
        <v>8.5632011764539566</v>
      </c>
    </row>
    <row r="51" spans="1:18" ht="16.5" thickBot="1" x14ac:dyDescent="0.3">
      <c r="A51" s="122">
        <f t="shared" si="8"/>
        <v>100048</v>
      </c>
      <c r="B51" s="123" t="s">
        <v>122</v>
      </c>
      <c r="C51" s="249">
        <v>5560</v>
      </c>
      <c r="D51" s="577">
        <v>5.9928601495696839E-3</v>
      </c>
      <c r="E51" s="636">
        <v>0.45</v>
      </c>
      <c r="F51" s="636" t="s">
        <v>214</v>
      </c>
      <c r="G51" s="636">
        <v>5.4</v>
      </c>
      <c r="H51" s="636">
        <v>6.9</v>
      </c>
      <c r="I51" s="636">
        <v>0.21</v>
      </c>
      <c r="J51" s="578">
        <f t="shared" si="9"/>
        <v>12748.701080218785</v>
      </c>
      <c r="K51" s="578">
        <f t="shared" si="1"/>
        <v>2.2929318489602131</v>
      </c>
      <c r="L51" s="578">
        <f t="shared" si="2"/>
        <v>84.838478411527888</v>
      </c>
      <c r="M51" s="578">
        <f>+L51/12</f>
        <v>7.0698732009606573</v>
      </c>
      <c r="N51" s="578">
        <f t="shared" si="17"/>
        <v>471701.93996809504</v>
      </c>
      <c r="O51" s="578">
        <f t="shared" si="18"/>
        <v>15.821229757825471</v>
      </c>
      <c r="P51" s="578">
        <f t="shared" si="5"/>
        <v>1.7674683002401643</v>
      </c>
      <c r="Q51" s="578">
        <f t="shared" si="6"/>
        <v>12.195531271657135</v>
      </c>
      <c r="R51" s="578">
        <f t="shared" si="7"/>
        <v>9.5443288212968884</v>
      </c>
    </row>
    <row r="52" spans="1:18" x14ac:dyDescent="0.25">
      <c r="Q52" s="270">
        <f>SUM(Q4:Q51)</f>
        <v>3793.2303644494464</v>
      </c>
    </row>
    <row r="53" spans="1:18" x14ac:dyDescent="0.25">
      <c r="N53" s="270">
        <f>SUM(N4:N52)</f>
        <v>78710653.710476711</v>
      </c>
      <c r="Q53" s="657">
        <f>+Q52/37</f>
        <v>102.51973957971477</v>
      </c>
    </row>
  </sheetData>
  <mergeCells count="2">
    <mergeCell ref="A1:N1"/>
    <mergeCell ref="B2:D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9"/>
  <sheetViews>
    <sheetView topLeftCell="A220" zoomScale="89" zoomScaleNormal="89" workbookViewId="0">
      <selection activeCell="A3" sqref="A3"/>
    </sheetView>
  </sheetViews>
  <sheetFormatPr baseColWidth="10" defaultRowHeight="15" x14ac:dyDescent="0.25"/>
  <cols>
    <col min="1" max="1" width="9" style="1" bestFit="1" customWidth="1"/>
    <col min="2" max="2" width="37.7109375" style="1" customWidth="1"/>
    <col min="3" max="3" width="13.42578125" style="1" customWidth="1"/>
    <col min="4" max="4" width="9.85546875" style="1" customWidth="1"/>
    <col min="5" max="8" width="13.42578125" style="1" customWidth="1"/>
    <col min="9" max="9" width="9" style="1" customWidth="1"/>
    <col min="10" max="10" width="12.5703125" style="1" customWidth="1"/>
    <col min="11" max="12" width="7.7109375" style="1" customWidth="1"/>
    <col min="13" max="13" width="7.85546875" style="1" customWidth="1"/>
    <col min="14" max="14" width="17" style="1" customWidth="1"/>
    <col min="15" max="15" width="13" style="1" customWidth="1"/>
    <col min="16" max="16" width="14.5703125" style="1" customWidth="1"/>
    <col min="17" max="17" width="7.7109375" style="1" customWidth="1"/>
    <col min="18" max="18" width="7.140625" style="660" customWidth="1"/>
    <col min="19" max="19" width="12" style="1" customWidth="1"/>
    <col min="20" max="20" width="13.85546875" style="1" customWidth="1"/>
    <col min="21" max="21" width="11.42578125" style="1"/>
    <col min="22" max="22" width="12.7109375" style="1" bestFit="1" customWidth="1"/>
    <col min="23" max="24" width="11.42578125" style="1"/>
    <col min="25" max="25" width="17.42578125" style="1" customWidth="1"/>
    <col min="26" max="30" width="11.42578125" style="1"/>
    <col min="31" max="31" width="11.42578125" style="364"/>
    <col min="32" max="16384" width="11.42578125" style="1"/>
  </cols>
  <sheetData>
    <row r="1" spans="1:19" ht="19.5" thickBot="1" x14ac:dyDescent="0.35">
      <c r="A1" s="842" t="s">
        <v>189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</row>
    <row r="2" spans="1:19" ht="18.75" x14ac:dyDescent="0.3">
      <c r="A2" s="566"/>
      <c r="B2" s="844" t="s">
        <v>198</v>
      </c>
      <c r="C2" s="844"/>
      <c r="D2" s="844"/>
      <c r="E2" s="592"/>
      <c r="F2" s="592"/>
      <c r="G2" s="592"/>
      <c r="H2" s="592"/>
      <c r="I2" s="592"/>
      <c r="J2" s="567">
        <f>+'1-CLIENTE-RED-ENDEUDAMIEN'!H130</f>
        <v>9260076.9071149062</v>
      </c>
      <c r="K2" s="568"/>
      <c r="L2" s="568"/>
      <c r="M2" s="656"/>
      <c r="N2" s="568"/>
      <c r="O2" s="568"/>
      <c r="P2" s="569"/>
    </row>
    <row r="3" spans="1:19" s="653" customFormat="1" ht="90" x14ac:dyDescent="0.25">
      <c r="A3" s="650" t="s">
        <v>31</v>
      </c>
      <c r="B3" s="650" t="s">
        <v>2</v>
      </c>
      <c r="C3" s="650" t="s">
        <v>191</v>
      </c>
      <c r="D3" s="650" t="s">
        <v>192</v>
      </c>
      <c r="E3" s="650" t="s">
        <v>235</v>
      </c>
      <c r="F3" s="650" t="s">
        <v>209</v>
      </c>
      <c r="G3" s="650" t="s">
        <v>237</v>
      </c>
      <c r="H3" s="650" t="s">
        <v>239</v>
      </c>
      <c r="I3" s="650" t="s">
        <v>238</v>
      </c>
      <c r="J3" s="650" t="s">
        <v>193</v>
      </c>
      <c r="K3" s="650" t="s">
        <v>195</v>
      </c>
      <c r="L3" s="650" t="s">
        <v>196</v>
      </c>
      <c r="M3" s="650" t="s">
        <v>277</v>
      </c>
      <c r="N3" s="650" t="s">
        <v>284</v>
      </c>
      <c r="O3" s="650" t="s">
        <v>240</v>
      </c>
      <c r="P3" s="650" t="s">
        <v>197</v>
      </c>
      <c r="Q3" s="650" t="s">
        <v>278</v>
      </c>
      <c r="R3" s="661" t="s">
        <v>279</v>
      </c>
      <c r="S3" s="650" t="s">
        <v>280</v>
      </c>
    </row>
    <row r="4" spans="1:19" ht="15.75" x14ac:dyDescent="0.25">
      <c r="A4" s="128">
        <v>100001</v>
      </c>
      <c r="B4" s="91" t="s">
        <v>15</v>
      </c>
      <c r="C4" s="103">
        <v>4910</v>
      </c>
      <c r="D4" s="577">
        <v>5.3518119941107528E-2</v>
      </c>
      <c r="E4" s="623">
        <v>0.48</v>
      </c>
      <c r="F4" s="24" t="s">
        <v>216</v>
      </c>
      <c r="G4" s="600">
        <v>9.6</v>
      </c>
      <c r="H4" s="600">
        <v>11.1</v>
      </c>
      <c r="I4" s="607">
        <v>0.21</v>
      </c>
      <c r="J4" s="578">
        <f>$J$2*D4</f>
        <v>495581.90657885559</v>
      </c>
      <c r="K4" s="578">
        <f>J4/C4</f>
        <v>100.93317852929849</v>
      </c>
      <c r="L4" s="578">
        <f>K4*17</f>
        <v>1715.8640349980742</v>
      </c>
      <c r="M4" s="578">
        <f>+L4/20</f>
        <v>85.793201749903716</v>
      </c>
      <c r="N4" s="578">
        <f t="shared" ref="N4:N51" si="0">+M4*I4</f>
        <v>18.016572367479778</v>
      </c>
      <c r="O4" s="578">
        <f t="shared" ref="O4:O51" si="1">+K4*H4</f>
        <v>1120.3582816752132</v>
      </c>
      <c r="P4" s="578">
        <f t="shared" ref="P4:P51" si="2">L4*C4</f>
        <v>8424892.411840545</v>
      </c>
      <c r="Q4" s="578">
        <f>+N4/4</f>
        <v>4.5041430918699445</v>
      </c>
      <c r="R4" s="658">
        <f>+Q4*I4</f>
        <v>0.94587004929268836</v>
      </c>
      <c r="S4" s="578">
        <f>+Q4*H4</f>
        <v>49.995988319756385</v>
      </c>
    </row>
    <row r="5" spans="1:19" ht="15.75" x14ac:dyDescent="0.25">
      <c r="A5" s="129">
        <f>+A4+1</f>
        <v>100002</v>
      </c>
      <c r="B5" s="92" t="s">
        <v>16</v>
      </c>
      <c r="C5" s="112">
        <v>4910</v>
      </c>
      <c r="D5" s="577">
        <v>3.7601368833857216E-2</v>
      </c>
      <c r="E5" s="623">
        <v>0.48</v>
      </c>
      <c r="F5" s="24" t="s">
        <v>216</v>
      </c>
      <c r="G5" s="600">
        <v>9.6</v>
      </c>
      <c r="H5" s="600">
        <v>11.1</v>
      </c>
      <c r="I5" s="607">
        <v>0.21</v>
      </c>
      <c r="J5" s="578">
        <f>$J$2*D5</f>
        <v>348191.56721431133</v>
      </c>
      <c r="K5" s="578">
        <f t="shared" ref="K5:K51" si="3">J5/C5</f>
        <v>70.914779473383163</v>
      </c>
      <c r="L5" s="578">
        <f t="shared" ref="L5:L51" si="4">K5*17</f>
        <v>1205.5512510475137</v>
      </c>
      <c r="M5" s="578">
        <f t="shared" ref="M5:M9" si="5">+L5/20</f>
        <v>60.277562552375684</v>
      </c>
      <c r="N5" s="578">
        <f t="shared" si="0"/>
        <v>12.658288135998893</v>
      </c>
      <c r="O5" s="578">
        <f t="shared" si="1"/>
        <v>787.15405215455314</v>
      </c>
      <c r="P5" s="578">
        <f t="shared" si="2"/>
        <v>5919256.6426432924</v>
      </c>
      <c r="Q5" s="578">
        <f t="shared" ref="Q5:Q51" si="6">+N5/4</f>
        <v>3.1645720339997232</v>
      </c>
      <c r="R5" s="658">
        <f t="shared" ref="R5:R51" si="7">+Q5*I5</f>
        <v>0.66456012713994184</v>
      </c>
      <c r="S5" s="578">
        <f t="shared" ref="S5:S51" si="8">+Q5*H5</f>
        <v>35.126749577396929</v>
      </c>
    </row>
    <row r="6" spans="1:19" ht="15.75" x14ac:dyDescent="0.25">
      <c r="A6" s="129">
        <f t="shared" ref="A6:A51" si="9">+A5+1</f>
        <v>100003</v>
      </c>
      <c r="B6" s="92" t="s">
        <v>17</v>
      </c>
      <c r="C6" s="112">
        <v>6000</v>
      </c>
      <c r="D6" s="577">
        <v>1.0959822872810982E-2</v>
      </c>
      <c r="E6" s="623">
        <v>0.36</v>
      </c>
      <c r="F6" s="24" t="s">
        <v>216</v>
      </c>
      <c r="G6" s="600">
        <v>7.1999999999999993</v>
      </c>
      <c r="H6" s="600">
        <v>8.6999999999999993</v>
      </c>
      <c r="I6" s="607">
        <v>0.21</v>
      </c>
      <c r="J6" s="578">
        <f t="shared" ref="J6:J51" si="10">$J$2*D6</f>
        <v>101488.80269058673</v>
      </c>
      <c r="K6" s="578">
        <f t="shared" si="3"/>
        <v>16.914800448431123</v>
      </c>
      <c r="L6" s="578">
        <f t="shared" si="4"/>
        <v>287.55160762332912</v>
      </c>
      <c r="M6" s="578">
        <f t="shared" si="5"/>
        <v>14.377580381166457</v>
      </c>
      <c r="N6" s="578">
        <f t="shared" si="0"/>
        <v>3.019291880044956</v>
      </c>
      <c r="O6" s="578">
        <f t="shared" si="1"/>
        <v>147.15876390135077</v>
      </c>
      <c r="P6" s="578">
        <f t="shared" si="2"/>
        <v>1725309.6457399747</v>
      </c>
      <c r="Q6" s="578">
        <f t="shared" si="6"/>
        <v>0.75482297001123899</v>
      </c>
      <c r="R6" s="658">
        <f t="shared" si="7"/>
        <v>0.15851282370236019</v>
      </c>
      <c r="S6" s="578">
        <f t="shared" si="8"/>
        <v>6.5669598390977786</v>
      </c>
    </row>
    <row r="7" spans="1:19" ht="15.75" x14ac:dyDescent="0.25">
      <c r="A7" s="129">
        <f t="shared" si="9"/>
        <v>100004</v>
      </c>
      <c r="B7" s="92" t="s">
        <v>18</v>
      </c>
      <c r="C7" s="112">
        <v>5130</v>
      </c>
      <c r="D7" s="577">
        <v>2.0869862636506389E-2</v>
      </c>
      <c r="E7" s="623">
        <v>0.4</v>
      </c>
      <c r="F7" s="24" t="s">
        <v>216</v>
      </c>
      <c r="G7" s="600">
        <v>8</v>
      </c>
      <c r="H7" s="600">
        <v>9.5</v>
      </c>
      <c r="I7" s="607">
        <v>0.21</v>
      </c>
      <c r="J7" s="578">
        <f t="shared" si="10"/>
        <v>193256.53305497303</v>
      </c>
      <c r="K7" s="578">
        <f t="shared" si="3"/>
        <v>37.671838802138993</v>
      </c>
      <c r="L7" s="578">
        <f t="shared" si="4"/>
        <v>640.42125963636283</v>
      </c>
      <c r="M7" s="578">
        <f t="shared" si="5"/>
        <v>32.02106298181814</v>
      </c>
      <c r="N7" s="578">
        <f t="shared" si="0"/>
        <v>6.7244232261818091</v>
      </c>
      <c r="O7" s="578">
        <f t="shared" si="1"/>
        <v>357.88246862032042</v>
      </c>
      <c r="P7" s="578">
        <f t="shared" si="2"/>
        <v>3285361.0619345414</v>
      </c>
      <c r="Q7" s="578">
        <f t="shared" si="6"/>
        <v>1.6811058065454523</v>
      </c>
      <c r="R7" s="658">
        <f t="shared" si="7"/>
        <v>0.35303221937454499</v>
      </c>
      <c r="S7" s="578">
        <f t="shared" si="8"/>
        <v>15.970505162181796</v>
      </c>
    </row>
    <row r="8" spans="1:19" ht="15.75" x14ac:dyDescent="0.25">
      <c r="A8" s="129">
        <f t="shared" si="9"/>
        <v>100005</v>
      </c>
      <c r="B8" s="92" t="s">
        <v>19</v>
      </c>
      <c r="C8" s="112">
        <v>8550</v>
      </c>
      <c r="D8" s="577">
        <v>1.578835457061134E-2</v>
      </c>
      <c r="E8" s="623">
        <v>0.4</v>
      </c>
      <c r="F8" s="24" t="s">
        <v>216</v>
      </c>
      <c r="G8" s="600">
        <v>8</v>
      </c>
      <c r="H8" s="600">
        <v>9.5</v>
      </c>
      <c r="I8" s="607">
        <v>0.21</v>
      </c>
      <c r="J8" s="578">
        <f t="shared" si="10"/>
        <v>146201.37756066016</v>
      </c>
      <c r="K8" s="578">
        <f t="shared" si="3"/>
        <v>17.099576322884229</v>
      </c>
      <c r="L8" s="578">
        <f t="shared" si="4"/>
        <v>290.69279748903188</v>
      </c>
      <c r="M8" s="578">
        <f t="shared" si="5"/>
        <v>14.534639874451594</v>
      </c>
      <c r="N8" s="578">
        <f t="shared" si="0"/>
        <v>3.0522743736348348</v>
      </c>
      <c r="O8" s="578">
        <f t="shared" si="1"/>
        <v>162.44597506740018</v>
      </c>
      <c r="P8" s="578">
        <f t="shared" si="2"/>
        <v>2485423.4185312227</v>
      </c>
      <c r="Q8" s="578">
        <f t="shared" si="6"/>
        <v>0.7630685934087087</v>
      </c>
      <c r="R8" s="658">
        <f t="shared" si="7"/>
        <v>0.16024440461582881</v>
      </c>
      <c r="S8" s="578">
        <f t="shared" si="8"/>
        <v>7.2491516373827327</v>
      </c>
    </row>
    <row r="9" spans="1:19" ht="15.75" x14ac:dyDescent="0.25">
      <c r="A9" s="129">
        <f t="shared" si="9"/>
        <v>100006</v>
      </c>
      <c r="B9" s="92" t="s">
        <v>42</v>
      </c>
      <c r="C9" s="112">
        <v>10100</v>
      </c>
      <c r="D9" s="577">
        <v>1.7467299349658533E-2</v>
      </c>
      <c r="E9" s="623">
        <v>0.4</v>
      </c>
      <c r="F9" s="24" t="s">
        <v>216</v>
      </c>
      <c r="G9" s="600">
        <v>8</v>
      </c>
      <c r="H9" s="600">
        <v>9.5</v>
      </c>
      <c r="I9" s="607">
        <v>0.21</v>
      </c>
      <c r="J9" s="578">
        <f t="shared" si="10"/>
        <v>161748.53533743622</v>
      </c>
      <c r="K9" s="578">
        <f t="shared" si="3"/>
        <v>16.014706469053092</v>
      </c>
      <c r="L9" s="578">
        <f t="shared" si="4"/>
        <v>272.25000997390254</v>
      </c>
      <c r="M9" s="578">
        <f t="shared" si="5"/>
        <v>13.612500498695127</v>
      </c>
      <c r="N9" s="578">
        <f t="shared" si="0"/>
        <v>2.8586251047259763</v>
      </c>
      <c r="O9" s="578">
        <f t="shared" si="1"/>
        <v>152.13971145600436</v>
      </c>
      <c r="P9" s="578">
        <f t="shared" si="2"/>
        <v>2749725.1007364155</v>
      </c>
      <c r="Q9" s="578">
        <f t="shared" si="6"/>
        <v>0.71465627618149408</v>
      </c>
      <c r="R9" s="658">
        <f t="shared" si="7"/>
        <v>0.15007781799811376</v>
      </c>
      <c r="S9" s="578">
        <f t="shared" si="8"/>
        <v>6.7892346237241936</v>
      </c>
    </row>
    <row r="10" spans="1:19" ht="15.75" x14ac:dyDescent="0.25">
      <c r="A10" s="129">
        <f>+A9+1</f>
        <v>100007</v>
      </c>
      <c r="B10" s="93" t="s">
        <v>43</v>
      </c>
      <c r="C10" s="115">
        <v>2340</v>
      </c>
      <c r="D10" s="577">
        <v>2.0689609453558255E-2</v>
      </c>
      <c r="E10" s="625">
        <v>0.08</v>
      </c>
      <c r="F10" s="24" t="s">
        <v>215</v>
      </c>
      <c r="G10" s="601">
        <v>2</v>
      </c>
      <c r="H10" s="601">
        <v>3.5</v>
      </c>
      <c r="I10" s="608">
        <v>0.21</v>
      </c>
      <c r="J10" s="578">
        <f t="shared" si="10"/>
        <v>191587.37471812105</v>
      </c>
      <c r="K10" s="578">
        <f t="shared" si="3"/>
        <v>81.874946460735487</v>
      </c>
      <c r="L10" s="578">
        <f t="shared" si="4"/>
        <v>1391.8740898325032</v>
      </c>
      <c r="M10" s="578">
        <f>+L10/25</f>
        <v>55.674963593300127</v>
      </c>
      <c r="N10" s="578">
        <f t="shared" si="0"/>
        <v>11.691742354593027</v>
      </c>
      <c r="O10" s="578">
        <f t="shared" si="1"/>
        <v>286.5623126125742</v>
      </c>
      <c r="P10" s="578">
        <f t="shared" si="2"/>
        <v>3256985.3702080576</v>
      </c>
      <c r="Q10" s="578">
        <f t="shared" si="6"/>
        <v>2.9229355886482566</v>
      </c>
      <c r="R10" s="658">
        <f t="shared" si="7"/>
        <v>0.6138164736161339</v>
      </c>
      <c r="S10" s="578">
        <f t="shared" si="8"/>
        <v>10.230274560268898</v>
      </c>
    </row>
    <row r="11" spans="1:19" ht="15.75" x14ac:dyDescent="0.25">
      <c r="A11" s="129">
        <f t="shared" si="9"/>
        <v>100008</v>
      </c>
      <c r="B11" s="93" t="s">
        <v>47</v>
      </c>
      <c r="C11" s="115">
        <v>2340</v>
      </c>
      <c r="D11" s="577">
        <v>8.7435789522680076E-3</v>
      </c>
      <c r="E11" s="625">
        <v>0.09</v>
      </c>
      <c r="F11" s="24" t="s">
        <v>215</v>
      </c>
      <c r="G11" s="601">
        <v>2.25</v>
      </c>
      <c r="H11" s="601">
        <v>3.75</v>
      </c>
      <c r="I11" s="608">
        <v>0.21</v>
      </c>
      <c r="J11" s="578">
        <f t="shared" si="10"/>
        <v>80966.213541432924</v>
      </c>
      <c r="K11" s="578">
        <f t="shared" si="3"/>
        <v>34.600945957877315</v>
      </c>
      <c r="L11" s="578">
        <f t="shared" si="4"/>
        <v>588.21608128391438</v>
      </c>
      <c r="M11" s="578">
        <f t="shared" ref="M11:M13" si="11">+L11/25</f>
        <v>23.528643251356574</v>
      </c>
      <c r="N11" s="578">
        <f t="shared" si="0"/>
        <v>4.9410150827848804</v>
      </c>
      <c r="O11" s="578">
        <f t="shared" si="1"/>
        <v>129.75354734203992</v>
      </c>
      <c r="P11" s="578">
        <f t="shared" si="2"/>
        <v>1376425.6302043595</v>
      </c>
      <c r="Q11" s="578">
        <f t="shared" si="6"/>
        <v>1.2352537706962201</v>
      </c>
      <c r="R11" s="658">
        <f t="shared" si="7"/>
        <v>0.2594032918462062</v>
      </c>
      <c r="S11" s="578">
        <f t="shared" si="8"/>
        <v>4.632201640110825</v>
      </c>
    </row>
    <row r="12" spans="1:19" ht="15.75" x14ac:dyDescent="0.25">
      <c r="A12" s="129">
        <f t="shared" si="9"/>
        <v>100009</v>
      </c>
      <c r="B12" s="93" t="s">
        <v>50</v>
      </c>
      <c r="C12" s="115">
        <v>2240</v>
      </c>
      <c r="D12" s="577">
        <v>3.4666989811607013E-2</v>
      </c>
      <c r="E12" s="625">
        <v>0.1</v>
      </c>
      <c r="F12" s="24" t="s">
        <v>215</v>
      </c>
      <c r="G12" s="601">
        <v>2.5</v>
      </c>
      <c r="H12" s="601">
        <v>4</v>
      </c>
      <c r="I12" s="608">
        <v>0.21</v>
      </c>
      <c r="J12" s="578">
        <f t="shared" si="10"/>
        <v>321018.99179364985</v>
      </c>
      <c r="K12" s="578">
        <f t="shared" si="3"/>
        <v>143.31204990787941</v>
      </c>
      <c r="L12" s="578">
        <f t="shared" si="4"/>
        <v>2436.3048484339502</v>
      </c>
      <c r="M12" s="578">
        <f t="shared" si="11"/>
        <v>97.452193937358004</v>
      </c>
      <c r="N12" s="578">
        <f t="shared" si="0"/>
        <v>20.464960726845181</v>
      </c>
      <c r="O12" s="578">
        <f t="shared" si="1"/>
        <v>573.24819963151765</v>
      </c>
      <c r="P12" s="578">
        <f t="shared" si="2"/>
        <v>5457322.8604920488</v>
      </c>
      <c r="Q12" s="578">
        <f t="shared" si="6"/>
        <v>5.1162401817112952</v>
      </c>
      <c r="R12" s="658">
        <f t="shared" si="7"/>
        <v>1.074410438159372</v>
      </c>
      <c r="S12" s="578">
        <f t="shared" si="8"/>
        <v>20.464960726845181</v>
      </c>
    </row>
    <row r="13" spans="1:19" ht="15.75" x14ac:dyDescent="0.25">
      <c r="A13" s="129">
        <f t="shared" si="9"/>
        <v>100010</v>
      </c>
      <c r="B13" s="93" t="s">
        <v>52</v>
      </c>
      <c r="C13" s="115">
        <v>2300</v>
      </c>
      <c r="D13" s="577">
        <v>2.8351594888090376E-2</v>
      </c>
      <c r="E13" s="625">
        <v>0.36</v>
      </c>
      <c r="F13" s="24" t="s">
        <v>215</v>
      </c>
      <c r="G13" s="601">
        <v>9</v>
      </c>
      <c r="H13" s="601">
        <v>10.5</v>
      </c>
      <c r="I13" s="608">
        <v>0.21</v>
      </c>
      <c r="J13" s="578">
        <f t="shared" si="10"/>
        <v>262537.9491030827</v>
      </c>
      <c r="K13" s="578">
        <f t="shared" si="3"/>
        <v>114.14693439264465</v>
      </c>
      <c r="L13" s="578">
        <f t="shared" si="4"/>
        <v>1940.4978846749591</v>
      </c>
      <c r="M13" s="578">
        <f t="shared" si="11"/>
        <v>77.619915386998358</v>
      </c>
      <c r="N13" s="578">
        <f t="shared" si="0"/>
        <v>16.300182231269655</v>
      </c>
      <c r="O13" s="578">
        <f t="shared" si="1"/>
        <v>1198.5428111227689</v>
      </c>
      <c r="P13" s="578">
        <f t="shared" si="2"/>
        <v>4463145.1347524058</v>
      </c>
      <c r="Q13" s="578">
        <f t="shared" si="6"/>
        <v>4.0750455578174138</v>
      </c>
      <c r="R13" s="658">
        <f t="shared" si="7"/>
        <v>0.85575956714165691</v>
      </c>
      <c r="S13" s="578">
        <f t="shared" si="8"/>
        <v>42.787978357082842</v>
      </c>
    </row>
    <row r="14" spans="1:19" ht="15.75" x14ac:dyDescent="0.25">
      <c r="A14" s="129">
        <f t="shared" si="9"/>
        <v>100011</v>
      </c>
      <c r="B14" s="93" t="s">
        <v>53</v>
      </c>
      <c r="C14" s="115">
        <v>1260</v>
      </c>
      <c r="D14" s="577">
        <v>1.8298463263697554E-2</v>
      </c>
      <c r="E14" s="625">
        <v>0.15</v>
      </c>
      <c r="F14" s="24" t="s">
        <v>216</v>
      </c>
      <c r="G14" s="601">
        <v>3</v>
      </c>
      <c r="H14" s="601">
        <v>4.5</v>
      </c>
      <c r="I14" s="608">
        <v>0.21</v>
      </c>
      <c r="J14" s="578">
        <f t="shared" si="10"/>
        <v>169445.17710385617</v>
      </c>
      <c r="K14" s="578">
        <f t="shared" si="3"/>
        <v>134.48029928877475</v>
      </c>
      <c r="L14" s="578">
        <f t="shared" si="4"/>
        <v>2286.1650879091708</v>
      </c>
      <c r="M14" s="578">
        <f t="shared" ref="M14:M20" si="12">+L14/20</f>
        <v>114.30825439545853</v>
      </c>
      <c r="N14" s="578">
        <f t="shared" si="0"/>
        <v>24.004733423046289</v>
      </c>
      <c r="O14" s="578">
        <f t="shared" si="1"/>
        <v>605.16134679948641</v>
      </c>
      <c r="P14" s="578">
        <f t="shared" si="2"/>
        <v>2880568.0107655553</v>
      </c>
      <c r="Q14" s="578">
        <f t="shared" si="6"/>
        <v>6.0011833557615724</v>
      </c>
      <c r="R14" s="658">
        <f t="shared" si="7"/>
        <v>1.2602485047099301</v>
      </c>
      <c r="S14" s="578">
        <f t="shared" si="8"/>
        <v>27.005325100927074</v>
      </c>
    </row>
    <row r="15" spans="1:19" ht="15.75" x14ac:dyDescent="0.25">
      <c r="A15" s="129">
        <f t="shared" si="9"/>
        <v>100012</v>
      </c>
      <c r="B15" s="93" t="s">
        <v>55</v>
      </c>
      <c r="C15" s="115">
        <v>1260</v>
      </c>
      <c r="D15" s="577">
        <v>1.4356577442554015E-2</v>
      </c>
      <c r="E15" s="625">
        <v>0.09</v>
      </c>
      <c r="F15" s="24" t="s">
        <v>216</v>
      </c>
      <c r="G15" s="601">
        <v>1.7999999999999998</v>
      </c>
      <c r="H15" s="601">
        <v>3.3</v>
      </c>
      <c r="I15" s="608">
        <v>0.21</v>
      </c>
      <c r="J15" s="578">
        <f t="shared" si="10"/>
        <v>132943.01124100122</v>
      </c>
      <c r="K15" s="578">
        <f t="shared" si="3"/>
        <v>105.51032638174701</v>
      </c>
      <c r="L15" s="578">
        <f t="shared" si="4"/>
        <v>1793.6755484896992</v>
      </c>
      <c r="M15" s="578">
        <f t="shared" si="12"/>
        <v>89.683777424484958</v>
      </c>
      <c r="N15" s="578">
        <f t="shared" si="0"/>
        <v>18.833593259141839</v>
      </c>
      <c r="O15" s="578">
        <f t="shared" si="1"/>
        <v>348.18407705976512</v>
      </c>
      <c r="P15" s="578">
        <f t="shared" si="2"/>
        <v>2260031.1910970211</v>
      </c>
      <c r="Q15" s="578">
        <f t="shared" si="6"/>
        <v>4.7083983147854598</v>
      </c>
      <c r="R15" s="658">
        <f t="shared" si="7"/>
        <v>0.98876364610494649</v>
      </c>
      <c r="S15" s="578">
        <f t="shared" si="8"/>
        <v>15.537714438792017</v>
      </c>
    </row>
    <row r="16" spans="1:19" ht="15.75" x14ac:dyDescent="0.25">
      <c r="A16" s="129">
        <f t="shared" si="9"/>
        <v>100013</v>
      </c>
      <c r="B16" s="93" t="s">
        <v>57</v>
      </c>
      <c r="C16" s="115">
        <v>2710</v>
      </c>
      <c r="D16" s="577">
        <v>2.098811690004827E-2</v>
      </c>
      <c r="E16" s="625">
        <v>0.18</v>
      </c>
      <c r="F16" s="24" t="s">
        <v>218</v>
      </c>
      <c r="G16" s="601">
        <v>3.5999999999999996</v>
      </c>
      <c r="H16" s="601">
        <v>5.0999999999999996</v>
      </c>
      <c r="I16" s="608">
        <v>0.21</v>
      </c>
      <c r="J16" s="578">
        <f t="shared" si="10"/>
        <v>194351.57662996507</v>
      </c>
      <c r="K16" s="578">
        <f t="shared" si="3"/>
        <v>71.71644894094652</v>
      </c>
      <c r="L16" s="578">
        <f t="shared" si="4"/>
        <v>1219.1796319960908</v>
      </c>
      <c r="M16" s="578">
        <f t="shared" si="12"/>
        <v>60.958981599804545</v>
      </c>
      <c r="N16" s="578">
        <f t="shared" si="0"/>
        <v>12.801386135958953</v>
      </c>
      <c r="O16" s="578">
        <f t="shared" si="1"/>
        <v>365.75388959882724</v>
      </c>
      <c r="P16" s="578">
        <f t="shared" si="2"/>
        <v>3303976.8027094062</v>
      </c>
      <c r="Q16" s="578">
        <f t="shared" si="6"/>
        <v>3.2003465339897383</v>
      </c>
      <c r="R16" s="658">
        <f t="shared" si="7"/>
        <v>0.672072772137845</v>
      </c>
      <c r="S16" s="578">
        <f t="shared" si="8"/>
        <v>16.321767323347665</v>
      </c>
    </row>
    <row r="17" spans="1:19" ht="15.75" x14ac:dyDescent="0.25">
      <c r="A17" s="129">
        <f t="shared" si="9"/>
        <v>100014</v>
      </c>
      <c r="B17" s="93" t="s">
        <v>59</v>
      </c>
      <c r="C17" s="115">
        <v>1480</v>
      </c>
      <c r="D17" s="577">
        <v>2.0679468122106363E-2</v>
      </c>
      <c r="E17" s="625">
        <v>0.56000000000000005</v>
      </c>
      <c r="F17" s="24" t="s">
        <v>219</v>
      </c>
      <c r="G17" s="601">
        <v>11.200000000000001</v>
      </c>
      <c r="H17" s="601">
        <v>13.000000000000002</v>
      </c>
      <c r="I17" s="608">
        <v>0.35</v>
      </c>
      <c r="J17" s="578">
        <f t="shared" si="10"/>
        <v>191493.46520893599</v>
      </c>
      <c r="K17" s="578">
        <f t="shared" si="3"/>
        <v>129.38747649252431</v>
      </c>
      <c r="L17" s="578">
        <f t="shared" si="4"/>
        <v>2199.5871003729135</v>
      </c>
      <c r="M17" s="578">
        <f t="shared" si="12"/>
        <v>109.97935501864568</v>
      </c>
      <c r="N17" s="578">
        <f t="shared" si="0"/>
        <v>38.492774256525983</v>
      </c>
      <c r="O17" s="578">
        <f t="shared" si="1"/>
        <v>1682.0371944028163</v>
      </c>
      <c r="P17" s="578">
        <f t="shared" si="2"/>
        <v>3255388.9085519118</v>
      </c>
      <c r="Q17" s="578">
        <f t="shared" si="6"/>
        <v>9.6231935641314958</v>
      </c>
      <c r="R17" s="658">
        <f t="shared" si="7"/>
        <v>3.3681177474460235</v>
      </c>
      <c r="S17" s="578">
        <f t="shared" si="8"/>
        <v>125.10151633370947</v>
      </c>
    </row>
    <row r="18" spans="1:19" ht="15.75" x14ac:dyDescent="0.25">
      <c r="A18" s="129">
        <f>+A17+1</f>
        <v>100015</v>
      </c>
      <c r="B18" s="94" t="s">
        <v>62</v>
      </c>
      <c r="C18" s="241">
        <v>2360</v>
      </c>
      <c r="D18" s="577">
        <v>5.4548355917159799E-2</v>
      </c>
      <c r="E18" s="627">
        <v>0.60000000000000009</v>
      </c>
      <c r="F18" s="24" t="s">
        <v>216</v>
      </c>
      <c r="G18" s="602">
        <v>12.000000000000002</v>
      </c>
      <c r="H18" s="602">
        <v>13.500000000000002</v>
      </c>
      <c r="I18" s="609">
        <v>0.21</v>
      </c>
      <c r="J18" s="578">
        <f t="shared" si="10"/>
        <v>505121.97094957624</v>
      </c>
      <c r="K18" s="578">
        <f t="shared" si="3"/>
        <v>214.03473345321026</v>
      </c>
      <c r="L18" s="578">
        <f t="shared" si="4"/>
        <v>3638.5904687045745</v>
      </c>
      <c r="M18" s="578">
        <f t="shared" si="12"/>
        <v>181.92952343522873</v>
      </c>
      <c r="N18" s="578">
        <f t="shared" si="0"/>
        <v>38.205199921398034</v>
      </c>
      <c r="O18" s="578">
        <f t="shared" si="1"/>
        <v>2889.4689016183388</v>
      </c>
      <c r="P18" s="578">
        <f t="shared" si="2"/>
        <v>8587073.5061427951</v>
      </c>
      <c r="Q18" s="578">
        <f t="shared" si="6"/>
        <v>9.5512999803495084</v>
      </c>
      <c r="R18" s="658">
        <f t="shared" si="7"/>
        <v>2.0057729958733965</v>
      </c>
      <c r="S18" s="578">
        <f t="shared" si="8"/>
        <v>128.94254973471837</v>
      </c>
    </row>
    <row r="19" spans="1:19" ht="15.75" x14ac:dyDescent="0.25">
      <c r="A19" s="129">
        <f t="shared" si="9"/>
        <v>100016</v>
      </c>
      <c r="B19" s="94" t="s">
        <v>65</v>
      </c>
      <c r="C19" s="241">
        <v>5000</v>
      </c>
      <c r="D19" s="577">
        <v>1.2735897046611974E-2</v>
      </c>
      <c r="E19" s="627">
        <v>0.48</v>
      </c>
      <c r="F19" s="24" t="s">
        <v>218</v>
      </c>
      <c r="G19" s="602">
        <v>9.6</v>
      </c>
      <c r="H19" s="602">
        <v>11.1</v>
      </c>
      <c r="I19" s="609">
        <v>0.21</v>
      </c>
      <c r="J19" s="578">
        <f t="shared" si="10"/>
        <v>117935.38613272448</v>
      </c>
      <c r="K19" s="578">
        <f t="shared" si="3"/>
        <v>23.587077226544896</v>
      </c>
      <c r="L19" s="578">
        <f t="shared" si="4"/>
        <v>400.98031285126325</v>
      </c>
      <c r="M19" s="578">
        <f t="shared" si="12"/>
        <v>20.049015642563162</v>
      </c>
      <c r="N19" s="578">
        <f t="shared" si="0"/>
        <v>4.2102932849382642</v>
      </c>
      <c r="O19" s="578">
        <f t="shared" si="1"/>
        <v>261.81655721464836</v>
      </c>
      <c r="P19" s="578">
        <f t="shared" si="2"/>
        <v>2004901.5642563163</v>
      </c>
      <c r="Q19" s="578">
        <f t="shared" si="6"/>
        <v>1.052573321234566</v>
      </c>
      <c r="R19" s="658">
        <f t="shared" si="7"/>
        <v>0.22104039745925885</v>
      </c>
      <c r="S19" s="578">
        <f t="shared" si="8"/>
        <v>11.683563865703682</v>
      </c>
    </row>
    <row r="20" spans="1:19" ht="15.75" x14ac:dyDescent="0.25">
      <c r="A20" s="129">
        <f t="shared" si="9"/>
        <v>100017</v>
      </c>
      <c r="B20" s="94" t="s">
        <v>66</v>
      </c>
      <c r="C20" s="241">
        <v>3590</v>
      </c>
      <c r="D20" s="577">
        <v>9.1809484158309283E-3</v>
      </c>
      <c r="E20" s="627">
        <v>0.2</v>
      </c>
      <c r="F20" s="24" t="s">
        <v>218</v>
      </c>
      <c r="G20" s="602">
        <v>4</v>
      </c>
      <c r="H20" s="602">
        <v>5.5</v>
      </c>
      <c r="I20" s="609">
        <v>0.21</v>
      </c>
      <c r="J20" s="578">
        <f t="shared" si="10"/>
        <v>85016.288410849156</v>
      </c>
      <c r="K20" s="578">
        <f t="shared" si="3"/>
        <v>23.681417384637648</v>
      </c>
      <c r="L20" s="578">
        <f t="shared" si="4"/>
        <v>402.58409553884002</v>
      </c>
      <c r="M20" s="578">
        <f t="shared" si="12"/>
        <v>20.129204776942</v>
      </c>
      <c r="N20" s="578">
        <f t="shared" si="0"/>
        <v>4.22713300315782</v>
      </c>
      <c r="O20" s="578">
        <f t="shared" si="1"/>
        <v>130.24779561550707</v>
      </c>
      <c r="P20" s="578">
        <f t="shared" si="2"/>
        <v>1445276.9029844357</v>
      </c>
      <c r="Q20" s="578">
        <f t="shared" si="6"/>
        <v>1.056783250789455</v>
      </c>
      <c r="R20" s="658">
        <f t="shared" si="7"/>
        <v>0.22192448266578554</v>
      </c>
      <c r="S20" s="578">
        <f t="shared" si="8"/>
        <v>5.8123078793420024</v>
      </c>
    </row>
    <row r="21" spans="1:19" ht="15.75" x14ac:dyDescent="0.25">
      <c r="A21" s="129">
        <f t="shared" si="9"/>
        <v>100018</v>
      </c>
      <c r="B21" s="94" t="s">
        <v>68</v>
      </c>
      <c r="C21" s="241">
        <v>12330</v>
      </c>
      <c r="D21" s="577">
        <v>8.7539275592806512E-3</v>
      </c>
      <c r="E21" s="627">
        <v>0.12</v>
      </c>
      <c r="F21" s="24" t="s">
        <v>215</v>
      </c>
      <c r="G21" s="602">
        <v>3</v>
      </c>
      <c r="H21" s="602">
        <v>4.5</v>
      </c>
      <c r="I21" s="609">
        <v>0.21</v>
      </c>
      <c r="J21" s="578">
        <f t="shared" si="10"/>
        <v>81062.042438251519</v>
      </c>
      <c r="K21" s="578">
        <f t="shared" si="3"/>
        <v>6.5743748936132622</v>
      </c>
      <c r="L21" s="578">
        <f t="shared" si="4"/>
        <v>111.76437319142546</v>
      </c>
      <c r="M21" s="578">
        <f t="shared" ref="M21" si="13">+L21/25</f>
        <v>4.4705749276570188</v>
      </c>
      <c r="N21" s="578">
        <f t="shared" si="0"/>
        <v>0.9388207348079739</v>
      </c>
      <c r="O21" s="578">
        <f t="shared" si="1"/>
        <v>29.584687021259679</v>
      </c>
      <c r="P21" s="578">
        <f t="shared" si="2"/>
        <v>1378054.721450276</v>
      </c>
      <c r="Q21" s="578">
        <f t="shared" si="6"/>
        <v>0.23470518370199348</v>
      </c>
      <c r="R21" s="658">
        <f t="shared" si="7"/>
        <v>4.9288088577418628E-2</v>
      </c>
      <c r="S21" s="578">
        <f t="shared" si="8"/>
        <v>1.0561733266589706</v>
      </c>
    </row>
    <row r="22" spans="1:19" ht="15.75" x14ac:dyDescent="0.25">
      <c r="A22" s="129">
        <f t="shared" si="9"/>
        <v>100019</v>
      </c>
      <c r="B22" s="94" t="s">
        <v>70</v>
      </c>
      <c r="C22" s="241">
        <v>7480</v>
      </c>
      <c r="D22" s="577">
        <v>7.6756998964912062E-3</v>
      </c>
      <c r="E22" s="627">
        <v>8.5000000000000006E-2</v>
      </c>
      <c r="F22" s="24" t="s">
        <v>214</v>
      </c>
      <c r="G22" s="602">
        <v>1.02</v>
      </c>
      <c r="H22" s="602">
        <v>2.52</v>
      </c>
      <c r="I22" s="609">
        <v>1.2000000000000002E-2</v>
      </c>
      <c r="J22" s="578">
        <f t="shared" si="10"/>
        <v>71077.571357442488</v>
      </c>
      <c r="K22" s="578">
        <f t="shared" si="3"/>
        <v>9.5023491119575514</v>
      </c>
      <c r="L22" s="578">
        <f t="shared" si="4"/>
        <v>161.53993490327838</v>
      </c>
      <c r="M22" s="578">
        <f>+L22/12</f>
        <v>13.461661241939865</v>
      </c>
      <c r="N22" s="578">
        <f t="shared" si="0"/>
        <v>0.16153993490327839</v>
      </c>
      <c r="O22" s="578">
        <f t="shared" si="1"/>
        <v>23.94591976213303</v>
      </c>
      <c r="P22" s="578">
        <f t="shared" si="2"/>
        <v>1208318.7130765223</v>
      </c>
      <c r="Q22" s="578">
        <f t="shared" si="6"/>
        <v>4.0384983725819598E-2</v>
      </c>
      <c r="R22" s="658">
        <f t="shared" si="7"/>
        <v>4.8461980470983527E-4</v>
      </c>
      <c r="S22" s="578">
        <f t="shared" si="8"/>
        <v>0.10177015898906538</v>
      </c>
    </row>
    <row r="23" spans="1:19" ht="15.75" x14ac:dyDescent="0.25">
      <c r="A23" s="129">
        <f t="shared" si="9"/>
        <v>100020</v>
      </c>
      <c r="B23" s="94" t="s">
        <v>72</v>
      </c>
      <c r="C23" s="241">
        <v>4100</v>
      </c>
      <c r="D23" s="577">
        <v>5.1954204213616869E-3</v>
      </c>
      <c r="E23" s="627">
        <v>0.84000000000000008</v>
      </c>
      <c r="F23" s="24" t="s">
        <v>224</v>
      </c>
      <c r="G23" s="602">
        <v>6.7200000000000006</v>
      </c>
      <c r="H23" s="602">
        <v>8.2200000000000006</v>
      </c>
      <c r="I23" s="609">
        <v>0.21</v>
      </c>
      <c r="J23" s="578">
        <f t="shared" si="10"/>
        <v>48109.99266660455</v>
      </c>
      <c r="K23" s="578">
        <f t="shared" si="3"/>
        <v>11.734144552830378</v>
      </c>
      <c r="L23" s="578">
        <f t="shared" si="4"/>
        <v>199.48045739811641</v>
      </c>
      <c r="M23" s="578">
        <f>+L23/8</f>
        <v>24.935057174764552</v>
      </c>
      <c r="N23" s="578">
        <f t="shared" si="0"/>
        <v>5.2363620067005554</v>
      </c>
      <c r="O23" s="578">
        <f t="shared" si="1"/>
        <v>96.454668224265717</v>
      </c>
      <c r="P23" s="578">
        <f t="shared" si="2"/>
        <v>817869.87533227727</v>
      </c>
      <c r="Q23" s="578">
        <f t="shared" si="6"/>
        <v>1.3090905016751389</v>
      </c>
      <c r="R23" s="658">
        <f t="shared" si="7"/>
        <v>0.27490900535177915</v>
      </c>
      <c r="S23" s="578">
        <f t="shared" si="8"/>
        <v>10.760723923769643</v>
      </c>
    </row>
    <row r="24" spans="1:19" ht="15.75" x14ac:dyDescent="0.25">
      <c r="A24" s="129">
        <f>+A23+1</f>
        <v>100021</v>
      </c>
      <c r="B24" s="92" t="s">
        <v>73</v>
      </c>
      <c r="C24" s="243">
        <v>3300</v>
      </c>
      <c r="D24" s="577">
        <v>7.8910293316201436E-3</v>
      </c>
      <c r="E24" s="629">
        <v>2.5499999999999998</v>
      </c>
      <c r="F24" s="24" t="s">
        <v>223</v>
      </c>
      <c r="G24" s="603">
        <v>10.199999999999999</v>
      </c>
      <c r="H24" s="603">
        <v>11.7</v>
      </c>
      <c r="I24" s="610">
        <v>0.21</v>
      </c>
      <c r="J24" s="578">
        <f t="shared" si="10"/>
        <v>73071.538487102065</v>
      </c>
      <c r="K24" s="578">
        <f t="shared" si="3"/>
        <v>22.14289045063699</v>
      </c>
      <c r="L24" s="578">
        <f t="shared" si="4"/>
        <v>376.42913766082881</v>
      </c>
      <c r="M24" s="578">
        <f>+L24/4</f>
        <v>94.107284415207204</v>
      </c>
      <c r="N24" s="578">
        <f t="shared" si="0"/>
        <v>19.762529727193513</v>
      </c>
      <c r="O24" s="578">
        <f t="shared" si="1"/>
        <v>259.07181827245279</v>
      </c>
      <c r="P24" s="578">
        <f t="shared" si="2"/>
        <v>1242216.1542807352</v>
      </c>
      <c r="Q24" s="578">
        <f t="shared" si="6"/>
        <v>4.9406324317983783</v>
      </c>
      <c r="R24" s="658">
        <f t="shared" si="7"/>
        <v>1.0375328106776593</v>
      </c>
      <c r="S24" s="578">
        <f t="shared" si="8"/>
        <v>57.805399452041023</v>
      </c>
    </row>
    <row r="25" spans="1:19" ht="15.75" x14ac:dyDescent="0.25">
      <c r="A25" s="129">
        <f t="shared" si="9"/>
        <v>100022</v>
      </c>
      <c r="B25" s="92" t="s">
        <v>76</v>
      </c>
      <c r="C25" s="243">
        <v>3000</v>
      </c>
      <c r="D25" s="577">
        <v>9.4692351979441727E-3</v>
      </c>
      <c r="E25" s="629">
        <v>1.7879999999999998</v>
      </c>
      <c r="F25" s="24" t="s">
        <v>223</v>
      </c>
      <c r="G25" s="603">
        <v>7.1519999999999992</v>
      </c>
      <c r="H25" s="603">
        <v>8.6519999999999992</v>
      </c>
      <c r="I25" s="610">
        <v>0.21</v>
      </c>
      <c r="J25" s="578">
        <f t="shared" si="10"/>
        <v>87685.846184522481</v>
      </c>
      <c r="K25" s="578">
        <f t="shared" si="3"/>
        <v>29.228615394840826</v>
      </c>
      <c r="L25" s="578">
        <f t="shared" si="4"/>
        <v>496.88646171229402</v>
      </c>
      <c r="M25" s="578">
        <f t="shared" ref="M25:M32" si="14">+L25/4</f>
        <v>124.22161542807351</v>
      </c>
      <c r="N25" s="578">
        <f t="shared" si="0"/>
        <v>26.086539239895433</v>
      </c>
      <c r="O25" s="578">
        <f t="shared" si="1"/>
        <v>252.88598039616281</v>
      </c>
      <c r="P25" s="578">
        <f t="shared" si="2"/>
        <v>1490659.3851368821</v>
      </c>
      <c r="Q25" s="578">
        <f t="shared" si="6"/>
        <v>6.5216348099738584</v>
      </c>
      <c r="R25" s="658">
        <f t="shared" si="7"/>
        <v>1.3695433100945102</v>
      </c>
      <c r="S25" s="578">
        <f t="shared" si="8"/>
        <v>56.425184375893821</v>
      </c>
    </row>
    <row r="26" spans="1:19" ht="15.75" x14ac:dyDescent="0.25">
      <c r="A26" s="129">
        <f t="shared" si="9"/>
        <v>100023</v>
      </c>
      <c r="B26" s="92" t="s">
        <v>78</v>
      </c>
      <c r="C26" s="243">
        <v>3800</v>
      </c>
      <c r="D26" s="577">
        <v>1.2625646930592231E-2</v>
      </c>
      <c r="E26" s="629">
        <v>1.02</v>
      </c>
      <c r="F26" s="24" t="s">
        <v>223</v>
      </c>
      <c r="G26" s="603">
        <v>4.08</v>
      </c>
      <c r="H26" s="603">
        <v>5.58</v>
      </c>
      <c r="I26" s="610">
        <v>0.21</v>
      </c>
      <c r="J26" s="578">
        <f t="shared" si="10"/>
        <v>116914.46157936331</v>
      </c>
      <c r="K26" s="578">
        <f t="shared" si="3"/>
        <v>30.766963573516662</v>
      </c>
      <c r="L26" s="578">
        <f t="shared" si="4"/>
        <v>523.0383807497833</v>
      </c>
      <c r="M26" s="578">
        <f t="shared" si="14"/>
        <v>130.75959518744583</v>
      </c>
      <c r="N26" s="578">
        <f t="shared" si="0"/>
        <v>27.459514989363623</v>
      </c>
      <c r="O26" s="578">
        <f t="shared" si="1"/>
        <v>171.67965674022298</v>
      </c>
      <c r="P26" s="578">
        <f t="shared" si="2"/>
        <v>1987545.8468491766</v>
      </c>
      <c r="Q26" s="578">
        <f t="shared" si="6"/>
        <v>6.8648787473409056</v>
      </c>
      <c r="R26" s="658">
        <f t="shared" si="7"/>
        <v>1.4416245369415901</v>
      </c>
      <c r="S26" s="578">
        <f t="shared" si="8"/>
        <v>38.306023410162254</v>
      </c>
    </row>
    <row r="27" spans="1:19" ht="15.75" x14ac:dyDescent="0.25">
      <c r="A27" s="129">
        <f t="shared" si="9"/>
        <v>100024</v>
      </c>
      <c r="B27" s="95" t="s">
        <v>80</v>
      </c>
      <c r="C27" s="243">
        <v>2300</v>
      </c>
      <c r="D27" s="577">
        <v>1.8938470395888345E-2</v>
      </c>
      <c r="E27" s="629">
        <v>1.1040000000000001</v>
      </c>
      <c r="F27" s="24" t="s">
        <v>223</v>
      </c>
      <c r="G27" s="603">
        <v>4.4160000000000004</v>
      </c>
      <c r="H27" s="603">
        <v>5.9160000000000004</v>
      </c>
      <c r="I27" s="610">
        <v>0.21</v>
      </c>
      <c r="J27" s="578">
        <f t="shared" si="10"/>
        <v>175371.69236904496</v>
      </c>
      <c r="K27" s="578">
        <f t="shared" si="3"/>
        <v>76.248561899584772</v>
      </c>
      <c r="L27" s="578">
        <f t="shared" si="4"/>
        <v>1296.2255522929411</v>
      </c>
      <c r="M27" s="578">
        <f t="shared" si="14"/>
        <v>324.05638807323527</v>
      </c>
      <c r="N27" s="578">
        <f t="shared" si="0"/>
        <v>68.051841495379406</v>
      </c>
      <c r="O27" s="578">
        <f t="shared" si="1"/>
        <v>451.08649219794353</v>
      </c>
      <c r="P27" s="578">
        <f t="shared" si="2"/>
        <v>2981318.7702737646</v>
      </c>
      <c r="Q27" s="578">
        <f t="shared" si="6"/>
        <v>17.012960373844852</v>
      </c>
      <c r="R27" s="658">
        <f t="shared" si="7"/>
        <v>3.5727216785074187</v>
      </c>
      <c r="S27" s="578">
        <f t="shared" si="8"/>
        <v>100.64867357166615</v>
      </c>
    </row>
    <row r="28" spans="1:19" ht="15.75" x14ac:dyDescent="0.25">
      <c r="A28" s="129">
        <f t="shared" si="9"/>
        <v>100025</v>
      </c>
      <c r="B28" s="95" t="s">
        <v>82</v>
      </c>
      <c r="C28" s="243">
        <v>3900</v>
      </c>
      <c r="D28" s="577">
        <v>9.4692351979441727E-3</v>
      </c>
      <c r="E28" s="629">
        <v>2.1239999999999997</v>
      </c>
      <c r="F28" s="24" t="s">
        <v>223</v>
      </c>
      <c r="G28" s="603">
        <v>8.4959999999999987</v>
      </c>
      <c r="H28" s="603">
        <v>9.9959999999999987</v>
      </c>
      <c r="I28" s="610">
        <v>0.21</v>
      </c>
      <c r="J28" s="578">
        <f t="shared" si="10"/>
        <v>87685.846184522481</v>
      </c>
      <c r="K28" s="578">
        <f t="shared" si="3"/>
        <v>22.483550303723714</v>
      </c>
      <c r="L28" s="578">
        <f t="shared" si="4"/>
        <v>382.22035516330311</v>
      </c>
      <c r="M28" s="578">
        <f t="shared" si="14"/>
        <v>95.555088790825778</v>
      </c>
      <c r="N28" s="578">
        <f t="shared" si="0"/>
        <v>20.066568646073414</v>
      </c>
      <c r="O28" s="578">
        <f t="shared" si="1"/>
        <v>224.74556883602222</v>
      </c>
      <c r="P28" s="578">
        <f t="shared" si="2"/>
        <v>1490659.3851368821</v>
      </c>
      <c r="Q28" s="578">
        <f t="shared" si="6"/>
        <v>5.0166421615183534</v>
      </c>
      <c r="R28" s="658">
        <f t="shared" si="7"/>
        <v>1.0534948539188542</v>
      </c>
      <c r="S28" s="578">
        <f t="shared" si="8"/>
        <v>50.146355046537451</v>
      </c>
    </row>
    <row r="29" spans="1:19" ht="15.75" x14ac:dyDescent="0.25">
      <c r="A29" s="129">
        <f t="shared" si="9"/>
        <v>100026</v>
      </c>
      <c r="B29" s="95" t="s">
        <v>84</v>
      </c>
      <c r="C29" s="243">
        <v>3000</v>
      </c>
      <c r="D29" s="577">
        <v>2.0516676262212374E-2</v>
      </c>
      <c r="E29" s="629">
        <v>1.1040000000000001</v>
      </c>
      <c r="F29" s="24" t="s">
        <v>223</v>
      </c>
      <c r="G29" s="603">
        <v>4.4160000000000004</v>
      </c>
      <c r="H29" s="603">
        <v>5.9160000000000004</v>
      </c>
      <c r="I29" s="610">
        <v>0.21</v>
      </c>
      <c r="J29" s="578">
        <f t="shared" si="10"/>
        <v>189986.00006646538</v>
      </c>
      <c r="K29" s="578">
        <f t="shared" si="3"/>
        <v>63.328666688821791</v>
      </c>
      <c r="L29" s="578">
        <f t="shared" si="4"/>
        <v>1076.5873337099704</v>
      </c>
      <c r="M29" s="578">
        <f t="shared" si="14"/>
        <v>269.1468334274926</v>
      </c>
      <c r="N29" s="578">
        <f t="shared" si="0"/>
        <v>56.520835019773443</v>
      </c>
      <c r="O29" s="578">
        <f t="shared" si="1"/>
        <v>374.65239213106975</v>
      </c>
      <c r="P29" s="578">
        <f t="shared" si="2"/>
        <v>3229762.0011299113</v>
      </c>
      <c r="Q29" s="578">
        <f t="shared" si="6"/>
        <v>14.130208754943361</v>
      </c>
      <c r="R29" s="658">
        <f t="shared" si="7"/>
        <v>2.9673438385381057</v>
      </c>
      <c r="S29" s="578">
        <f t="shared" si="8"/>
        <v>83.594314994244925</v>
      </c>
    </row>
    <row r="30" spans="1:19" ht="15.75" x14ac:dyDescent="0.25">
      <c r="A30" s="129">
        <f t="shared" si="9"/>
        <v>100027</v>
      </c>
      <c r="B30" s="95" t="s">
        <v>85</v>
      </c>
      <c r="C30" s="118">
        <v>4100</v>
      </c>
      <c r="D30" s="577">
        <v>7.8910293316201436E-3</v>
      </c>
      <c r="E30" s="631">
        <v>2.1239999999999997</v>
      </c>
      <c r="F30" s="24" t="s">
        <v>223</v>
      </c>
      <c r="G30" s="604">
        <v>8.4959999999999987</v>
      </c>
      <c r="H30" s="604">
        <v>9.9959999999999987</v>
      </c>
      <c r="I30" s="611">
        <v>0.21</v>
      </c>
      <c r="J30" s="578">
        <f t="shared" si="10"/>
        <v>73071.538487102065</v>
      </c>
      <c r="K30" s="578">
        <f t="shared" si="3"/>
        <v>17.822326460268798</v>
      </c>
      <c r="L30" s="578">
        <f t="shared" si="4"/>
        <v>302.97954982456957</v>
      </c>
      <c r="M30" s="578">
        <f t="shared" si="14"/>
        <v>75.744887456142393</v>
      </c>
      <c r="N30" s="578">
        <f t="shared" si="0"/>
        <v>15.906426365789901</v>
      </c>
      <c r="O30" s="578">
        <f t="shared" si="1"/>
        <v>178.15197529684687</v>
      </c>
      <c r="P30" s="578">
        <f t="shared" si="2"/>
        <v>1242216.1542807352</v>
      </c>
      <c r="Q30" s="578">
        <f t="shared" si="6"/>
        <v>3.9766065914474753</v>
      </c>
      <c r="R30" s="658">
        <f t="shared" si="7"/>
        <v>0.83508738420396977</v>
      </c>
      <c r="S30" s="578">
        <f t="shared" si="8"/>
        <v>39.750159488108956</v>
      </c>
    </row>
    <row r="31" spans="1:19" ht="15.75" x14ac:dyDescent="0.25">
      <c r="A31" s="129">
        <f>+A30+1</f>
        <v>100028</v>
      </c>
      <c r="B31" s="95" t="s">
        <v>86</v>
      </c>
      <c r="C31" s="245">
        <v>2350</v>
      </c>
      <c r="D31" s="577">
        <v>7.8910293316201436E-3</v>
      </c>
      <c r="E31" s="633">
        <v>1.2000000000000002</v>
      </c>
      <c r="F31" s="24" t="s">
        <v>216</v>
      </c>
      <c r="G31" s="605">
        <v>24.000000000000004</v>
      </c>
      <c r="H31" s="605">
        <v>25.500000000000004</v>
      </c>
      <c r="I31" s="612">
        <v>0.21</v>
      </c>
      <c r="J31" s="578">
        <f t="shared" si="10"/>
        <v>73071.538487102065</v>
      </c>
      <c r="K31" s="578">
        <f t="shared" si="3"/>
        <v>31.094271696639176</v>
      </c>
      <c r="L31" s="578">
        <f t="shared" si="4"/>
        <v>528.60261884286604</v>
      </c>
      <c r="M31" s="578">
        <f t="shared" ref="M31" si="15">+L31/20</f>
        <v>26.4301309421433</v>
      </c>
      <c r="N31" s="578">
        <f t="shared" si="0"/>
        <v>5.5503274978500929</v>
      </c>
      <c r="O31" s="578">
        <f t="shared" si="1"/>
        <v>792.90392826429911</v>
      </c>
      <c r="P31" s="578">
        <f t="shared" si="2"/>
        <v>1242216.1542807352</v>
      </c>
      <c r="Q31" s="578">
        <f t="shared" si="6"/>
        <v>1.3875818744625232</v>
      </c>
      <c r="R31" s="658">
        <f t="shared" si="7"/>
        <v>0.29139219363712987</v>
      </c>
      <c r="S31" s="578">
        <f t="shared" si="8"/>
        <v>35.383337798794351</v>
      </c>
    </row>
    <row r="32" spans="1:19" ht="15.75" x14ac:dyDescent="0.25">
      <c r="A32" s="129">
        <f t="shared" si="9"/>
        <v>100029</v>
      </c>
      <c r="B32" s="95" t="s">
        <v>89</v>
      </c>
      <c r="C32" s="245">
        <v>3000</v>
      </c>
      <c r="D32" s="577">
        <v>6.3128234652961154E-3</v>
      </c>
      <c r="E32" s="633">
        <v>6</v>
      </c>
      <c r="F32" s="24" t="s">
        <v>223</v>
      </c>
      <c r="G32" s="605">
        <v>24</v>
      </c>
      <c r="H32" s="605">
        <v>25.5</v>
      </c>
      <c r="I32" s="612">
        <v>0.21</v>
      </c>
      <c r="J32" s="578">
        <f t="shared" si="10"/>
        <v>58457.230789681656</v>
      </c>
      <c r="K32" s="578">
        <f t="shared" si="3"/>
        <v>19.485743596560553</v>
      </c>
      <c r="L32" s="578">
        <f t="shared" si="4"/>
        <v>331.2576411415294</v>
      </c>
      <c r="M32" s="578">
        <f t="shared" si="14"/>
        <v>82.814410285382351</v>
      </c>
      <c r="N32" s="578">
        <f t="shared" si="0"/>
        <v>17.391026159930291</v>
      </c>
      <c r="O32" s="578">
        <f t="shared" si="1"/>
        <v>496.88646171229414</v>
      </c>
      <c r="P32" s="578">
        <f t="shared" si="2"/>
        <v>993772.92342458817</v>
      </c>
      <c r="Q32" s="578">
        <f t="shared" si="6"/>
        <v>4.3477565399825728</v>
      </c>
      <c r="R32" s="658">
        <f t="shared" si="7"/>
        <v>0.91302887339634031</v>
      </c>
      <c r="S32" s="578">
        <f t="shared" si="8"/>
        <v>110.86779176955561</v>
      </c>
    </row>
    <row r="33" spans="1:19" ht="15.75" x14ac:dyDescent="0.25">
      <c r="A33" s="129">
        <f t="shared" si="9"/>
        <v>100030</v>
      </c>
      <c r="B33" s="95" t="s">
        <v>91</v>
      </c>
      <c r="C33" s="245">
        <v>2300</v>
      </c>
      <c r="D33" s="577">
        <v>4.7346175989720863E-3</v>
      </c>
      <c r="E33" s="633">
        <v>3</v>
      </c>
      <c r="F33" s="24" t="s">
        <v>224</v>
      </c>
      <c r="G33" s="605">
        <v>24</v>
      </c>
      <c r="H33" s="605">
        <v>25.5</v>
      </c>
      <c r="I33" s="612">
        <v>0.21</v>
      </c>
      <c r="J33" s="578">
        <f t="shared" si="10"/>
        <v>43842.923092261241</v>
      </c>
      <c r="K33" s="578">
        <f t="shared" si="3"/>
        <v>19.062140474896193</v>
      </c>
      <c r="L33" s="578">
        <f t="shared" si="4"/>
        <v>324.05638807323527</v>
      </c>
      <c r="M33" s="578">
        <f>+L33/8</f>
        <v>40.507048509154409</v>
      </c>
      <c r="N33" s="578">
        <f t="shared" si="0"/>
        <v>8.5064801869224258</v>
      </c>
      <c r="O33" s="578">
        <f t="shared" si="1"/>
        <v>486.08458210985293</v>
      </c>
      <c r="P33" s="578">
        <f t="shared" si="2"/>
        <v>745329.69256844115</v>
      </c>
      <c r="Q33" s="578">
        <f t="shared" si="6"/>
        <v>2.1266200467306065</v>
      </c>
      <c r="R33" s="658">
        <f t="shared" si="7"/>
        <v>0.44659020981342734</v>
      </c>
      <c r="S33" s="578">
        <f t="shared" si="8"/>
        <v>54.228811191630463</v>
      </c>
    </row>
    <row r="34" spans="1:19" ht="15.75" x14ac:dyDescent="0.25">
      <c r="A34" s="129">
        <f t="shared" si="9"/>
        <v>100031</v>
      </c>
      <c r="B34" s="95" t="s">
        <v>93</v>
      </c>
      <c r="C34" s="245">
        <v>3800</v>
      </c>
      <c r="D34" s="577">
        <v>6.3128234652961154E-3</v>
      </c>
      <c r="E34" s="633">
        <v>3.5999999999999996</v>
      </c>
      <c r="F34" s="34" t="s">
        <v>233</v>
      </c>
      <c r="G34" s="605">
        <v>25.199999999999996</v>
      </c>
      <c r="H34" s="605">
        <v>26.699999999999996</v>
      </c>
      <c r="I34" s="612">
        <v>0.21</v>
      </c>
      <c r="J34" s="578">
        <f t="shared" si="10"/>
        <v>58457.230789681656</v>
      </c>
      <c r="K34" s="578">
        <f t="shared" si="3"/>
        <v>15.383481786758331</v>
      </c>
      <c r="L34" s="578">
        <f t="shared" si="4"/>
        <v>261.51919037489165</v>
      </c>
      <c r="M34" s="578">
        <f>+L33/7</f>
        <v>46.293769724747897</v>
      </c>
      <c r="N34" s="578">
        <f t="shared" si="0"/>
        <v>9.7216916421970581</v>
      </c>
      <c r="O34" s="578">
        <f t="shared" si="1"/>
        <v>410.73896370644735</v>
      </c>
      <c r="P34" s="578">
        <f t="shared" si="2"/>
        <v>993772.92342458828</v>
      </c>
      <c r="Q34" s="578">
        <f t="shared" si="6"/>
        <v>2.4304229105492645</v>
      </c>
      <c r="R34" s="658">
        <f t="shared" si="7"/>
        <v>0.51038881121534552</v>
      </c>
      <c r="S34" s="578">
        <f t="shared" si="8"/>
        <v>64.892291711665351</v>
      </c>
    </row>
    <row r="35" spans="1:19" ht="15.75" x14ac:dyDescent="0.25">
      <c r="A35" s="129">
        <f t="shared" si="9"/>
        <v>100032</v>
      </c>
      <c r="B35" s="95" t="s">
        <v>95</v>
      </c>
      <c r="C35" s="245">
        <v>4000</v>
      </c>
      <c r="D35" s="577">
        <v>6.3128234652961154E-3</v>
      </c>
      <c r="E35" s="633">
        <v>10</v>
      </c>
      <c r="F35" s="34" t="s">
        <v>234</v>
      </c>
      <c r="G35" s="605">
        <v>20</v>
      </c>
      <c r="H35" s="605">
        <v>21.5</v>
      </c>
      <c r="I35" s="612">
        <v>0.21</v>
      </c>
      <c r="J35" s="578">
        <f t="shared" si="10"/>
        <v>58457.230789681656</v>
      </c>
      <c r="K35" s="578">
        <f t="shared" si="3"/>
        <v>14.614307697420415</v>
      </c>
      <c r="L35" s="578">
        <f t="shared" si="4"/>
        <v>248.44323085614707</v>
      </c>
      <c r="M35" s="578">
        <f>+L34/2</f>
        <v>130.75959518744583</v>
      </c>
      <c r="N35" s="578">
        <f t="shared" si="0"/>
        <v>27.459514989363623</v>
      </c>
      <c r="O35" s="578">
        <f t="shared" si="1"/>
        <v>314.20761549453891</v>
      </c>
      <c r="P35" s="578">
        <f t="shared" si="2"/>
        <v>993772.92342458828</v>
      </c>
      <c r="Q35" s="578">
        <f t="shared" si="6"/>
        <v>6.8648787473409056</v>
      </c>
      <c r="R35" s="658">
        <f t="shared" si="7"/>
        <v>1.4416245369415901</v>
      </c>
      <c r="S35" s="578">
        <f t="shared" si="8"/>
        <v>147.59489306782947</v>
      </c>
    </row>
    <row r="36" spans="1:19" ht="15.75" x14ac:dyDescent="0.25">
      <c r="A36" s="129">
        <f>+A35+1</f>
        <v>100033</v>
      </c>
      <c r="B36" s="96" t="s">
        <v>22</v>
      </c>
      <c r="C36" s="245">
        <v>1910</v>
      </c>
      <c r="D36" s="577">
        <v>9.0314908671449881E-2</v>
      </c>
      <c r="E36" s="633">
        <v>6.9000000000000006E-2</v>
      </c>
      <c r="F36" s="34" t="s">
        <v>216</v>
      </c>
      <c r="G36" s="605">
        <v>1.3800000000000001</v>
      </c>
      <c r="H36" s="605">
        <v>2.13</v>
      </c>
      <c r="I36" s="612">
        <v>1.2000000000000002E-2</v>
      </c>
      <c r="J36" s="578">
        <f t="shared" si="10"/>
        <v>836323.0001566849</v>
      </c>
      <c r="K36" s="578">
        <f t="shared" si="3"/>
        <v>437.86544510821199</v>
      </c>
      <c r="L36" s="578">
        <f t="shared" si="4"/>
        <v>7443.7125668396038</v>
      </c>
      <c r="M36" s="578">
        <f t="shared" ref="M36:M39" si="16">+L36/20</f>
        <v>372.18562834198019</v>
      </c>
      <c r="N36" s="578">
        <f t="shared" si="0"/>
        <v>4.4662275401037634</v>
      </c>
      <c r="O36" s="578">
        <f t="shared" si="1"/>
        <v>932.65339808049146</v>
      </c>
      <c r="P36" s="578">
        <f t="shared" si="2"/>
        <v>14217491.002663644</v>
      </c>
      <c r="Q36" s="578">
        <f t="shared" si="6"/>
        <v>1.1165568850259409</v>
      </c>
      <c r="R36" s="658">
        <f t="shared" si="7"/>
        <v>1.3398682620311292E-2</v>
      </c>
      <c r="S36" s="578">
        <f t="shared" si="8"/>
        <v>2.3782661651052539</v>
      </c>
    </row>
    <row r="37" spans="1:19" ht="15.75" x14ac:dyDescent="0.25">
      <c r="A37" s="129">
        <f t="shared" si="9"/>
        <v>100034</v>
      </c>
      <c r="B37" s="97" t="s">
        <v>23</v>
      </c>
      <c r="C37" s="245">
        <v>2170</v>
      </c>
      <c r="D37" s="577">
        <v>8.426193680204401E-2</v>
      </c>
      <c r="E37" s="633">
        <v>7.1999999999999995E-2</v>
      </c>
      <c r="F37" s="34" t="s">
        <v>216</v>
      </c>
      <c r="G37" s="605">
        <v>1.44</v>
      </c>
      <c r="H37" s="605">
        <v>2.19</v>
      </c>
      <c r="I37" s="612">
        <v>1.2000000000000002E-2</v>
      </c>
      <c r="J37" s="578">
        <f t="shared" si="10"/>
        <v>780272.01512938342</v>
      </c>
      <c r="K37" s="578">
        <f t="shared" si="3"/>
        <v>359.57235720248082</v>
      </c>
      <c r="L37" s="578">
        <f t="shared" si="4"/>
        <v>6112.7300724421739</v>
      </c>
      <c r="M37" s="578">
        <f t="shared" si="16"/>
        <v>305.63650362210871</v>
      </c>
      <c r="N37" s="578">
        <f t="shared" si="0"/>
        <v>3.6676380434653049</v>
      </c>
      <c r="O37" s="578">
        <f t="shared" si="1"/>
        <v>787.46346227343292</v>
      </c>
      <c r="P37" s="578">
        <f t="shared" si="2"/>
        <v>13264624.257199517</v>
      </c>
      <c r="Q37" s="578">
        <f t="shared" si="6"/>
        <v>0.91690951086632622</v>
      </c>
      <c r="R37" s="658">
        <f t="shared" si="7"/>
        <v>1.1002914130395917E-2</v>
      </c>
      <c r="S37" s="578">
        <f t="shared" si="8"/>
        <v>2.0080318287972543</v>
      </c>
    </row>
    <row r="38" spans="1:19" ht="15.75" x14ac:dyDescent="0.25">
      <c r="A38" s="129">
        <f t="shared" si="9"/>
        <v>100035</v>
      </c>
      <c r="B38" s="97" t="s">
        <v>24</v>
      </c>
      <c r="C38" s="245">
        <v>1670</v>
      </c>
      <c r="D38" s="577">
        <v>6.7433738076879732E-2</v>
      </c>
      <c r="E38" s="633">
        <v>4.8000000000000001E-2</v>
      </c>
      <c r="F38" s="34" t="s">
        <v>227</v>
      </c>
      <c r="G38" s="605">
        <v>0.86399999999999999</v>
      </c>
      <c r="H38" s="605">
        <v>1.8639999999999999</v>
      </c>
      <c r="I38" s="612">
        <v>0.03</v>
      </c>
      <c r="J38" s="578">
        <f t="shared" si="10"/>
        <v>624441.60072614916</v>
      </c>
      <c r="K38" s="578">
        <f t="shared" si="3"/>
        <v>373.91712618332286</v>
      </c>
      <c r="L38" s="578">
        <f t="shared" si="4"/>
        <v>6356.5911451164884</v>
      </c>
      <c r="M38" s="578">
        <f>+L38/18</f>
        <v>353.14395250647158</v>
      </c>
      <c r="N38" s="578">
        <f t="shared" si="0"/>
        <v>10.594318575194148</v>
      </c>
      <c r="O38" s="578">
        <f t="shared" si="1"/>
        <v>696.98152320571376</v>
      </c>
      <c r="P38" s="578">
        <f t="shared" si="2"/>
        <v>10615507.212344537</v>
      </c>
      <c r="Q38" s="578">
        <f t="shared" si="6"/>
        <v>2.6485796437985369</v>
      </c>
      <c r="R38" s="658">
        <f t="shared" si="7"/>
        <v>7.94573893139561E-2</v>
      </c>
      <c r="S38" s="578">
        <f t="shared" si="8"/>
        <v>4.9369524560404727</v>
      </c>
    </row>
    <row r="39" spans="1:19" ht="15.75" x14ac:dyDescent="0.25">
      <c r="A39" s="129">
        <f t="shared" si="9"/>
        <v>100036</v>
      </c>
      <c r="B39" s="97" t="s">
        <v>25</v>
      </c>
      <c r="C39" s="245">
        <v>1020</v>
      </c>
      <c r="D39" s="577">
        <v>3.3307666560733154E-2</v>
      </c>
      <c r="E39" s="633">
        <v>6.5000000000000002E-2</v>
      </c>
      <c r="F39" s="34" t="s">
        <v>216</v>
      </c>
      <c r="G39" s="605">
        <v>1.3</v>
      </c>
      <c r="H39" s="605">
        <v>2.0499999999999998</v>
      </c>
      <c r="I39" s="612">
        <v>1.2000000000000002E-2</v>
      </c>
      <c r="J39" s="578">
        <f t="shared" si="10"/>
        <v>308431.55394892843</v>
      </c>
      <c r="K39" s="578">
        <f t="shared" si="3"/>
        <v>302.38387642051805</v>
      </c>
      <c r="L39" s="578">
        <f t="shared" si="4"/>
        <v>5140.5258991488072</v>
      </c>
      <c r="M39" s="578">
        <f t="shared" si="16"/>
        <v>257.02629495744037</v>
      </c>
      <c r="N39" s="578">
        <f t="shared" si="0"/>
        <v>3.0843155394892849</v>
      </c>
      <c r="O39" s="578">
        <f t="shared" si="1"/>
        <v>619.88694666206197</v>
      </c>
      <c r="P39" s="578">
        <f t="shared" si="2"/>
        <v>5243336.4171317834</v>
      </c>
      <c r="Q39" s="578">
        <f t="shared" si="6"/>
        <v>0.77107888487232124</v>
      </c>
      <c r="R39" s="658">
        <f t="shared" si="7"/>
        <v>9.2529466184678565E-3</v>
      </c>
      <c r="S39" s="578">
        <f t="shared" si="8"/>
        <v>1.5807117139882585</v>
      </c>
    </row>
    <row r="40" spans="1:19" ht="15.75" x14ac:dyDescent="0.25">
      <c r="A40" s="129">
        <f t="shared" si="9"/>
        <v>100037</v>
      </c>
      <c r="B40" s="97" t="s">
        <v>26</v>
      </c>
      <c r="C40" s="245">
        <v>1430</v>
      </c>
      <c r="D40" s="577">
        <v>3.6844741548338569E-2</v>
      </c>
      <c r="E40" s="633">
        <v>8.5999999999999993E-2</v>
      </c>
      <c r="F40" s="34" t="s">
        <v>214</v>
      </c>
      <c r="G40" s="605">
        <v>1.032</v>
      </c>
      <c r="H40" s="605">
        <v>1.782</v>
      </c>
      <c r="I40" s="612">
        <v>1.2000000000000002E-2</v>
      </c>
      <c r="J40" s="578">
        <f t="shared" si="10"/>
        <v>341185.1403603871</v>
      </c>
      <c r="K40" s="578">
        <f t="shared" si="3"/>
        <v>238.59100724502593</v>
      </c>
      <c r="L40" s="578">
        <f t="shared" si="4"/>
        <v>4056.047123165441</v>
      </c>
      <c r="M40" s="578">
        <f>+L40/12</f>
        <v>338.00392693045342</v>
      </c>
      <c r="N40" s="578">
        <f t="shared" si="0"/>
        <v>4.0560471231654418</v>
      </c>
      <c r="O40" s="578">
        <f t="shared" si="1"/>
        <v>425.16917491063623</v>
      </c>
      <c r="P40" s="578">
        <f t="shared" si="2"/>
        <v>5800147.3861265806</v>
      </c>
      <c r="Q40" s="578">
        <f t="shared" si="6"/>
        <v>1.0140117807913605</v>
      </c>
      <c r="R40" s="658">
        <f t="shared" si="7"/>
        <v>1.2168141369496328E-2</v>
      </c>
      <c r="S40" s="578">
        <f t="shared" si="8"/>
        <v>1.8069689933702044</v>
      </c>
    </row>
    <row r="41" spans="1:19" ht="15.75" x14ac:dyDescent="0.25">
      <c r="A41" s="129">
        <f t="shared" si="9"/>
        <v>100038</v>
      </c>
      <c r="B41" s="97" t="s">
        <v>27</v>
      </c>
      <c r="C41" s="245">
        <v>13260</v>
      </c>
      <c r="D41" s="577">
        <v>3.0684977748644777E-2</v>
      </c>
      <c r="E41" s="633">
        <v>0.53500000000000003</v>
      </c>
      <c r="F41" s="34" t="s">
        <v>213</v>
      </c>
      <c r="G41" s="605">
        <v>12.84</v>
      </c>
      <c r="H41" s="605">
        <v>14.34</v>
      </c>
      <c r="I41" s="612">
        <v>0.21</v>
      </c>
      <c r="J41" s="578">
        <f t="shared" si="10"/>
        <v>284145.25384556025</v>
      </c>
      <c r="K41" s="578">
        <f t="shared" si="3"/>
        <v>21.428752175381618</v>
      </c>
      <c r="L41" s="578">
        <f t="shared" si="4"/>
        <v>364.28878698148753</v>
      </c>
      <c r="M41" s="578">
        <f>+L41/24</f>
        <v>15.178699457561981</v>
      </c>
      <c r="N41" s="578">
        <f t="shared" si="0"/>
        <v>3.1875268860880159</v>
      </c>
      <c r="O41" s="578">
        <f t="shared" si="1"/>
        <v>307.28830619497239</v>
      </c>
      <c r="P41" s="578">
        <f t="shared" si="2"/>
        <v>4830469.3153745243</v>
      </c>
      <c r="Q41" s="578">
        <f t="shared" si="6"/>
        <v>0.79688172152200398</v>
      </c>
      <c r="R41" s="658">
        <f t="shared" si="7"/>
        <v>0.16734516151962084</v>
      </c>
      <c r="S41" s="578">
        <f t="shared" si="8"/>
        <v>11.427283886625537</v>
      </c>
    </row>
    <row r="42" spans="1:19" ht="15.75" x14ac:dyDescent="0.25">
      <c r="A42" s="129">
        <f t="shared" si="9"/>
        <v>100039</v>
      </c>
      <c r="B42" s="97" t="s">
        <v>28</v>
      </c>
      <c r="C42" s="245">
        <v>2840</v>
      </c>
      <c r="D42" s="577">
        <v>1.7045228335214935E-2</v>
      </c>
      <c r="E42" s="633">
        <v>9.2999999999999999E-2</v>
      </c>
      <c r="F42" s="34" t="s">
        <v>228</v>
      </c>
      <c r="G42" s="605">
        <v>4.4640000000000004</v>
      </c>
      <c r="H42" s="605">
        <v>5.9640000000000004</v>
      </c>
      <c r="I42" s="612">
        <v>0.21</v>
      </c>
      <c r="J42" s="578">
        <f t="shared" si="10"/>
        <v>157840.12528342448</v>
      </c>
      <c r="K42" s="578">
        <f t="shared" si="3"/>
        <v>55.577508902614255</v>
      </c>
      <c r="L42" s="578">
        <f t="shared" si="4"/>
        <v>944.81765134444231</v>
      </c>
      <c r="M42" s="578">
        <f>+L42/48</f>
        <v>19.68370106967588</v>
      </c>
      <c r="N42" s="578">
        <f t="shared" si="0"/>
        <v>4.1335772246319351</v>
      </c>
      <c r="O42" s="578">
        <f t="shared" si="1"/>
        <v>331.46426309519143</v>
      </c>
      <c r="P42" s="578">
        <f t="shared" si="2"/>
        <v>2683282.129818216</v>
      </c>
      <c r="Q42" s="578">
        <f t="shared" si="6"/>
        <v>1.0333943061579838</v>
      </c>
      <c r="R42" s="658">
        <f t="shared" si="7"/>
        <v>0.2170128042931766</v>
      </c>
      <c r="S42" s="578">
        <f t="shared" si="8"/>
        <v>6.1631636419262152</v>
      </c>
    </row>
    <row r="43" spans="1:19" ht="15.75" x14ac:dyDescent="0.25">
      <c r="A43" s="129">
        <f t="shared" si="9"/>
        <v>100040</v>
      </c>
      <c r="B43" s="97" t="s">
        <v>29</v>
      </c>
      <c r="C43" s="245">
        <v>3800</v>
      </c>
      <c r="D43" s="577">
        <v>1.5376328238439485E-2</v>
      </c>
      <c r="E43" s="633">
        <v>0.05</v>
      </c>
      <c r="F43" s="34" t="s">
        <v>222</v>
      </c>
      <c r="G43" s="605">
        <v>5</v>
      </c>
      <c r="H43" s="605">
        <v>6.5</v>
      </c>
      <c r="I43" s="612">
        <v>0.21</v>
      </c>
      <c r="J43" s="578">
        <f t="shared" si="10"/>
        <v>142385.9820369923</v>
      </c>
      <c r="K43" s="578">
        <f t="shared" si="3"/>
        <v>37.46999527289271</v>
      </c>
      <c r="L43" s="578">
        <f t="shared" si="4"/>
        <v>636.98991963917604</v>
      </c>
      <c r="M43" s="578">
        <f>+L43/100</f>
        <v>6.3698991963917599</v>
      </c>
      <c r="N43" s="578">
        <f t="shared" si="0"/>
        <v>1.3376788312422696</v>
      </c>
      <c r="O43" s="578">
        <f t="shared" si="1"/>
        <v>243.55496927380261</v>
      </c>
      <c r="P43" s="578">
        <f t="shared" si="2"/>
        <v>2420561.6946288687</v>
      </c>
      <c r="Q43" s="578">
        <f t="shared" si="6"/>
        <v>0.3344197078105674</v>
      </c>
      <c r="R43" s="658">
        <f t="shared" si="7"/>
        <v>7.0228138640219151E-2</v>
      </c>
      <c r="S43" s="578">
        <f t="shared" si="8"/>
        <v>2.1737281007686882</v>
      </c>
    </row>
    <row r="44" spans="1:19" x14ac:dyDescent="0.25">
      <c r="A44" s="129">
        <f>+A43+1</f>
        <v>100041</v>
      </c>
      <c r="B44" s="97" t="s">
        <v>106</v>
      </c>
      <c r="C44" s="247">
        <v>3440</v>
      </c>
      <c r="D44" s="577">
        <v>1.739718356852692E-2</v>
      </c>
      <c r="E44" s="635">
        <v>0.4</v>
      </c>
      <c r="F44" s="38" t="s">
        <v>213</v>
      </c>
      <c r="G44" s="606">
        <v>9.6000000000000014</v>
      </c>
      <c r="H44" s="606">
        <v>11.100000000000001</v>
      </c>
      <c r="I44" s="613">
        <v>0.21</v>
      </c>
      <c r="J44" s="578">
        <f t="shared" si="10"/>
        <v>161099.25781175503</v>
      </c>
      <c r="K44" s="578">
        <f t="shared" si="3"/>
        <v>46.831179596440414</v>
      </c>
      <c r="L44" s="578">
        <f t="shared" si="4"/>
        <v>796.13005313948702</v>
      </c>
      <c r="M44" s="578">
        <f>+L44/44</f>
        <v>18.093864844079249</v>
      </c>
      <c r="N44" s="578">
        <f t="shared" si="0"/>
        <v>3.7997116172566421</v>
      </c>
      <c r="O44" s="578">
        <f t="shared" si="1"/>
        <v>519.82609352048871</v>
      </c>
      <c r="P44" s="578">
        <f t="shared" si="2"/>
        <v>2738687.3827998354</v>
      </c>
      <c r="Q44" s="578">
        <f t="shared" si="6"/>
        <v>0.94992790431416052</v>
      </c>
      <c r="R44" s="658">
        <f t="shared" si="7"/>
        <v>0.1994848599059737</v>
      </c>
      <c r="S44" s="578">
        <f t="shared" si="8"/>
        <v>10.544199737887183</v>
      </c>
    </row>
    <row r="45" spans="1:19" x14ac:dyDescent="0.25">
      <c r="A45" s="129">
        <f t="shared" si="9"/>
        <v>100042</v>
      </c>
      <c r="B45" s="97" t="s">
        <v>106</v>
      </c>
      <c r="C45" s="247">
        <v>2060</v>
      </c>
      <c r="D45" s="577">
        <v>2.0415136022876802E-2</v>
      </c>
      <c r="E45" s="635">
        <v>0.2</v>
      </c>
      <c r="F45" s="38" t="s">
        <v>228</v>
      </c>
      <c r="G45" s="606">
        <v>9.6000000000000014</v>
      </c>
      <c r="H45" s="606">
        <v>11.100000000000001</v>
      </c>
      <c r="I45" s="613">
        <v>0.21</v>
      </c>
      <c r="J45" s="578">
        <f t="shared" si="10"/>
        <v>189045.72964105112</v>
      </c>
      <c r="K45" s="578">
        <f t="shared" si="3"/>
        <v>91.769771670413164</v>
      </c>
      <c r="L45" s="578">
        <f t="shared" si="4"/>
        <v>1560.0861183970237</v>
      </c>
      <c r="M45" s="578">
        <f>+L45/48</f>
        <v>32.501794133271325</v>
      </c>
      <c r="N45" s="578">
        <f t="shared" si="0"/>
        <v>6.8253767679869783</v>
      </c>
      <c r="O45" s="578">
        <f t="shared" si="1"/>
        <v>1018.6444655415862</v>
      </c>
      <c r="P45" s="578">
        <f t="shared" si="2"/>
        <v>3213777.4038978689</v>
      </c>
      <c r="Q45" s="578">
        <f t="shared" si="6"/>
        <v>1.7063441919967446</v>
      </c>
      <c r="R45" s="658">
        <f t="shared" si="7"/>
        <v>0.35833228031931635</v>
      </c>
      <c r="S45" s="578">
        <f t="shared" si="8"/>
        <v>18.940420531163866</v>
      </c>
    </row>
    <row r="46" spans="1:19" x14ac:dyDescent="0.25">
      <c r="A46" s="129">
        <f t="shared" si="9"/>
        <v>100043</v>
      </c>
      <c r="B46" s="97" t="s">
        <v>112</v>
      </c>
      <c r="C46" s="247">
        <v>2810</v>
      </c>
      <c r="D46" s="577">
        <v>1.0509866680215489E-2</v>
      </c>
      <c r="E46" s="635">
        <v>0.2</v>
      </c>
      <c r="F46" s="38" t="s">
        <v>228</v>
      </c>
      <c r="G46" s="606">
        <v>9.6000000000000014</v>
      </c>
      <c r="H46" s="606">
        <v>11.100000000000001</v>
      </c>
      <c r="I46" s="613">
        <v>0.21</v>
      </c>
      <c r="J46" s="578">
        <f t="shared" si="10"/>
        <v>97322.17374231985</v>
      </c>
      <c r="K46" s="578">
        <f t="shared" si="3"/>
        <v>34.634225531074676</v>
      </c>
      <c r="L46" s="578">
        <f t="shared" si="4"/>
        <v>588.78183402826949</v>
      </c>
      <c r="M46" s="578">
        <f>+L46/48</f>
        <v>12.266288208922282</v>
      </c>
      <c r="N46" s="578">
        <f t="shared" si="0"/>
        <v>2.5759205238736791</v>
      </c>
      <c r="O46" s="578">
        <f t="shared" si="1"/>
        <v>384.43990339492893</v>
      </c>
      <c r="P46" s="578">
        <f t="shared" si="2"/>
        <v>1654476.9536194373</v>
      </c>
      <c r="Q46" s="578">
        <f t="shared" si="6"/>
        <v>0.64398013096841977</v>
      </c>
      <c r="R46" s="658">
        <f t="shared" si="7"/>
        <v>0.13523582750336816</v>
      </c>
      <c r="S46" s="578">
        <f t="shared" si="8"/>
        <v>7.1481794537494601</v>
      </c>
    </row>
    <row r="47" spans="1:19" x14ac:dyDescent="0.25">
      <c r="A47" s="129">
        <f t="shared" si="9"/>
        <v>100044</v>
      </c>
      <c r="B47" s="97" t="s">
        <v>113</v>
      </c>
      <c r="C47" s="247">
        <v>4140</v>
      </c>
      <c r="D47" s="577">
        <v>8.5867846919207482E-3</v>
      </c>
      <c r="E47" s="635">
        <v>0.38</v>
      </c>
      <c r="F47" s="38" t="s">
        <v>213</v>
      </c>
      <c r="G47" s="606">
        <v>9.120000000000001</v>
      </c>
      <c r="H47" s="606">
        <v>10.620000000000001</v>
      </c>
      <c r="I47" s="613">
        <v>0.21</v>
      </c>
      <c r="J47" s="578">
        <f t="shared" si="10"/>
        <v>79514.286632023111</v>
      </c>
      <c r="K47" s="578">
        <f t="shared" si="3"/>
        <v>19.206349428024907</v>
      </c>
      <c r="L47" s="578">
        <f t="shared" si="4"/>
        <v>326.50794027642343</v>
      </c>
      <c r="M47" s="578">
        <f>+L47/24</f>
        <v>13.604497511517643</v>
      </c>
      <c r="N47" s="578">
        <f t="shared" si="0"/>
        <v>2.8569444774187049</v>
      </c>
      <c r="O47" s="578">
        <f t="shared" si="1"/>
        <v>203.97143092562453</v>
      </c>
      <c r="P47" s="578">
        <f t="shared" si="2"/>
        <v>1351742.8727443931</v>
      </c>
      <c r="Q47" s="578">
        <f t="shared" si="6"/>
        <v>0.71423611935467624</v>
      </c>
      <c r="R47" s="658">
        <f t="shared" si="7"/>
        <v>0.14998958506448201</v>
      </c>
      <c r="S47" s="578">
        <f t="shared" si="8"/>
        <v>7.5851875875466623</v>
      </c>
    </row>
    <row r="48" spans="1:19" x14ac:dyDescent="0.25">
      <c r="A48" s="129">
        <f t="shared" si="9"/>
        <v>100045</v>
      </c>
      <c r="B48" s="97" t="s">
        <v>116</v>
      </c>
      <c r="C48" s="247">
        <v>2150</v>
      </c>
      <c r="D48" s="577">
        <v>9.3749231666469882E-3</v>
      </c>
      <c r="E48" s="635">
        <v>0.2</v>
      </c>
      <c r="F48" s="38" t="s">
        <v>228</v>
      </c>
      <c r="G48" s="606">
        <v>9.6000000000000014</v>
      </c>
      <c r="H48" s="606">
        <v>11.100000000000001</v>
      </c>
      <c r="I48" s="613">
        <v>0.21</v>
      </c>
      <c r="J48" s="578">
        <f t="shared" si="10"/>
        <v>86812.509521444328</v>
      </c>
      <c r="K48" s="578">
        <f t="shared" si="3"/>
        <v>40.377911405322941</v>
      </c>
      <c r="L48" s="578">
        <f t="shared" si="4"/>
        <v>686.42449389049</v>
      </c>
      <c r="M48" s="578">
        <f t="shared" ref="M48:M49" si="17">+L48/48</f>
        <v>14.300510289385208</v>
      </c>
      <c r="N48" s="578">
        <f t="shared" si="0"/>
        <v>3.0031071607708935</v>
      </c>
      <c r="O48" s="578">
        <f t="shared" si="1"/>
        <v>448.19481659908467</v>
      </c>
      <c r="P48" s="578">
        <f t="shared" si="2"/>
        <v>1475812.6618645536</v>
      </c>
      <c r="Q48" s="578">
        <f t="shared" si="6"/>
        <v>0.75077679019272336</v>
      </c>
      <c r="R48" s="658">
        <f t="shared" si="7"/>
        <v>0.15766312594047191</v>
      </c>
      <c r="S48" s="578">
        <f t="shared" si="8"/>
        <v>8.3336223711392297</v>
      </c>
    </row>
    <row r="49" spans="1:31" x14ac:dyDescent="0.25">
      <c r="A49" s="129">
        <f t="shared" si="9"/>
        <v>100046</v>
      </c>
      <c r="B49" s="97" t="s">
        <v>118</v>
      </c>
      <c r="C49" s="247">
        <v>2150</v>
      </c>
      <c r="D49" s="577">
        <v>7.5557000599249403E-3</v>
      </c>
      <c r="E49" s="635">
        <v>0.2</v>
      </c>
      <c r="F49" s="38" t="s">
        <v>228</v>
      </c>
      <c r="G49" s="606">
        <v>9.6000000000000014</v>
      </c>
      <c r="H49" s="606">
        <v>11.100000000000001</v>
      </c>
      <c r="I49" s="613">
        <v>0.21</v>
      </c>
      <c r="J49" s="578">
        <f t="shared" si="10"/>
        <v>69966.363641997654</v>
      </c>
      <c r="K49" s="578">
        <f t="shared" si="3"/>
        <v>32.542494717208214</v>
      </c>
      <c r="L49" s="578">
        <f t="shared" si="4"/>
        <v>553.22241019253966</v>
      </c>
      <c r="M49" s="578">
        <f t="shared" si="17"/>
        <v>11.525466879011242</v>
      </c>
      <c r="N49" s="578">
        <f t="shared" si="0"/>
        <v>2.4203480445923606</v>
      </c>
      <c r="O49" s="578">
        <f t="shared" si="1"/>
        <v>361.22169136101121</v>
      </c>
      <c r="P49" s="578">
        <f t="shared" si="2"/>
        <v>1189428.1819139603</v>
      </c>
      <c r="Q49" s="578">
        <f t="shared" si="6"/>
        <v>0.60508701114809016</v>
      </c>
      <c r="R49" s="658">
        <f t="shared" si="7"/>
        <v>0.12706827234109894</v>
      </c>
      <c r="S49" s="578">
        <f t="shared" si="8"/>
        <v>6.7164658237438015</v>
      </c>
    </row>
    <row r="50" spans="1:31" x14ac:dyDescent="0.25">
      <c r="A50" s="129">
        <f t="shared" si="9"/>
        <v>100047</v>
      </c>
      <c r="B50" s="97" t="s">
        <v>119</v>
      </c>
      <c r="C50" s="247">
        <v>4080</v>
      </c>
      <c r="D50" s="577">
        <v>5.4631034090536846E-3</v>
      </c>
      <c r="E50" s="635">
        <v>0.32500000000000001</v>
      </c>
      <c r="F50" s="40" t="s">
        <v>214</v>
      </c>
      <c r="G50" s="606">
        <v>3.9000000000000004</v>
      </c>
      <c r="H50" s="606">
        <v>5.4</v>
      </c>
      <c r="I50" s="613">
        <v>0.21</v>
      </c>
      <c r="J50" s="578">
        <f t="shared" si="10"/>
        <v>50588.757719358742</v>
      </c>
      <c r="K50" s="578">
        <f t="shared" si="3"/>
        <v>12.399205323372241</v>
      </c>
      <c r="L50" s="578">
        <f t="shared" si="4"/>
        <v>210.78649049732809</v>
      </c>
      <c r="M50" s="578">
        <f>+L50/12</f>
        <v>17.565540874777341</v>
      </c>
      <c r="N50" s="578">
        <f t="shared" si="0"/>
        <v>3.6887635837032415</v>
      </c>
      <c r="O50" s="578">
        <f t="shared" si="1"/>
        <v>66.955708746210107</v>
      </c>
      <c r="P50" s="578">
        <f t="shared" si="2"/>
        <v>860008.88122909865</v>
      </c>
      <c r="Q50" s="578">
        <f t="shared" si="6"/>
        <v>0.92219089592581038</v>
      </c>
      <c r="R50" s="658">
        <f t="shared" si="7"/>
        <v>0.19366008814442018</v>
      </c>
      <c r="S50" s="578">
        <f t="shared" si="8"/>
        <v>4.9798308379993763</v>
      </c>
    </row>
    <row r="51" spans="1:31" ht="15.75" thickBot="1" x14ac:dyDescent="0.3">
      <c r="A51" s="130">
        <f t="shared" si="9"/>
        <v>100048</v>
      </c>
      <c r="B51" s="98" t="s">
        <v>122</v>
      </c>
      <c r="C51" s="249">
        <v>5560</v>
      </c>
      <c r="D51" s="577">
        <v>5.9928601495696839E-3</v>
      </c>
      <c r="E51" s="635">
        <v>0.45</v>
      </c>
      <c r="F51" s="40" t="s">
        <v>214</v>
      </c>
      <c r="G51" s="606">
        <v>5.4</v>
      </c>
      <c r="H51" s="606">
        <v>6.9</v>
      </c>
      <c r="I51" s="613">
        <v>0.21</v>
      </c>
      <c r="J51" s="578">
        <f t="shared" si="10"/>
        <v>55494.345878599415</v>
      </c>
      <c r="K51" s="578">
        <f t="shared" si="3"/>
        <v>9.9809974601797506</v>
      </c>
      <c r="L51" s="578">
        <f t="shared" si="4"/>
        <v>169.67695682305578</v>
      </c>
      <c r="M51" s="578">
        <f>+L51/12</f>
        <v>14.139746401921315</v>
      </c>
      <c r="N51" s="578">
        <f t="shared" si="0"/>
        <v>2.969346744403476</v>
      </c>
      <c r="O51" s="578">
        <f t="shared" si="1"/>
        <v>68.868882475240284</v>
      </c>
      <c r="P51" s="578">
        <f t="shared" si="2"/>
        <v>943403.87993619009</v>
      </c>
      <c r="Q51" s="578">
        <f t="shared" si="6"/>
        <v>0.742336686100869</v>
      </c>
      <c r="R51" s="658">
        <f t="shared" si="7"/>
        <v>0.1558907040811825</v>
      </c>
      <c r="S51" s="578">
        <f t="shared" si="8"/>
        <v>5.1221231340959967</v>
      </c>
    </row>
    <row r="52" spans="1:31" x14ac:dyDescent="0.25">
      <c r="A52" s="57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N52" s="2"/>
      <c r="O52" s="2"/>
      <c r="P52" s="573"/>
      <c r="R52" s="660">
        <f>SUM(R4:R51)</f>
        <v>32.23587343270983</v>
      </c>
    </row>
    <row r="53" spans="1:31" ht="15.75" thickBot="1" x14ac:dyDescent="0.3">
      <c r="A53" s="574"/>
      <c r="B53" s="575"/>
      <c r="C53" s="575"/>
      <c r="D53" s="575"/>
      <c r="E53" s="575"/>
      <c r="F53" s="575"/>
      <c r="G53" s="575"/>
      <c r="H53" s="575"/>
      <c r="I53" s="575"/>
      <c r="J53" s="575"/>
      <c r="K53" s="575"/>
      <c r="L53" s="575"/>
      <c r="N53" s="575"/>
      <c r="O53" s="575"/>
      <c r="P53" s="576">
        <f>SUM(P4:P52)</f>
        <v>157421307.42095342</v>
      </c>
      <c r="R53" s="659">
        <f>+R52/17</f>
        <v>1.8962278489829312</v>
      </c>
    </row>
    <row r="55" spans="1:31" ht="19.5" thickBot="1" x14ac:dyDescent="0.35">
      <c r="A55" s="842" t="s">
        <v>189</v>
      </c>
      <c r="B55" s="842"/>
      <c r="C55" s="842"/>
      <c r="D55" s="842"/>
      <c r="E55" s="842"/>
      <c r="F55" s="842"/>
      <c r="G55" s="842"/>
      <c r="H55" s="842"/>
      <c r="I55" s="842"/>
      <c r="J55" s="842"/>
      <c r="K55" s="842"/>
      <c r="L55" s="842"/>
      <c r="M55" s="842"/>
      <c r="N55" s="842"/>
      <c r="O55" s="842"/>
      <c r="P55" s="842"/>
    </row>
    <row r="56" spans="1:31" ht="19.5" thickBot="1" x14ac:dyDescent="0.35">
      <c r="A56" s="566"/>
      <c r="B56" s="844" t="s">
        <v>203</v>
      </c>
      <c r="C56" s="844"/>
      <c r="D56" s="844"/>
      <c r="E56" s="592"/>
      <c r="F56" s="592"/>
      <c r="G56" s="592"/>
      <c r="H56" s="592"/>
      <c r="I56" s="592"/>
      <c r="J56" s="567">
        <f>+'1-CLIENTE-RED-ENDEUDAMIEN'!H157</f>
        <v>10252580.85702277</v>
      </c>
      <c r="K56" s="568"/>
      <c r="L56" s="568"/>
      <c r="N56" s="568"/>
      <c r="O56" s="568"/>
      <c r="P56" s="569"/>
    </row>
    <row r="57" spans="1:31" s="653" customFormat="1" ht="64.5" customHeight="1" x14ac:dyDescent="0.25">
      <c r="A57" s="649" t="s">
        <v>31</v>
      </c>
      <c r="B57" s="650" t="s">
        <v>2</v>
      </c>
      <c r="C57" s="650" t="s">
        <v>191</v>
      </c>
      <c r="D57" s="650" t="s">
        <v>192</v>
      </c>
      <c r="E57" s="650" t="s">
        <v>235</v>
      </c>
      <c r="F57" s="650" t="s">
        <v>209</v>
      </c>
      <c r="G57" s="650" t="s">
        <v>237</v>
      </c>
      <c r="H57" s="650" t="s">
        <v>239</v>
      </c>
      <c r="I57" s="650" t="s">
        <v>238</v>
      </c>
      <c r="J57" s="650" t="s">
        <v>193</v>
      </c>
      <c r="K57" s="650" t="s">
        <v>195</v>
      </c>
      <c r="L57" s="650" t="s">
        <v>196</v>
      </c>
      <c r="M57" s="650" t="s">
        <v>277</v>
      </c>
      <c r="N57" s="651" t="s">
        <v>240</v>
      </c>
      <c r="O57" s="652" t="s">
        <v>197</v>
      </c>
      <c r="P57" s="650" t="s">
        <v>278</v>
      </c>
      <c r="Q57" s="650" t="s">
        <v>279</v>
      </c>
      <c r="R57" s="661" t="s">
        <v>280</v>
      </c>
      <c r="AE57" s="655"/>
    </row>
    <row r="58" spans="1:31" ht="15.75" x14ac:dyDescent="0.25">
      <c r="A58" s="128">
        <v>100001</v>
      </c>
      <c r="B58" s="91" t="s">
        <v>15</v>
      </c>
      <c r="C58" s="103">
        <v>4910</v>
      </c>
      <c r="D58" s="577">
        <v>5.3518119941107528E-2</v>
      </c>
      <c r="E58" s="623">
        <v>0.48</v>
      </c>
      <c r="F58" s="24" t="s">
        <v>216</v>
      </c>
      <c r="G58" s="600">
        <v>9.6</v>
      </c>
      <c r="H58" s="600">
        <v>11.1</v>
      </c>
      <c r="I58" s="607">
        <v>0.21</v>
      </c>
      <c r="J58" s="578">
        <f>$J$56*D58</f>
        <v>548698.85201204766</v>
      </c>
      <c r="K58" s="578">
        <f>J58/C58</f>
        <v>111.75129368880808</v>
      </c>
      <c r="L58" s="578">
        <f>K58*3</f>
        <v>335.25388106642424</v>
      </c>
      <c r="M58" s="578">
        <f>+L58/20</f>
        <v>16.762694053321212</v>
      </c>
      <c r="N58" s="578">
        <f t="shared" ref="N58:N105" si="18">+K58*H58</f>
        <v>1240.4393599457696</v>
      </c>
      <c r="O58" s="578">
        <f t="shared" ref="O58:O105" si="19">L58*C58</f>
        <v>1646096.5560361431</v>
      </c>
      <c r="P58" s="578">
        <f>+M58/1</f>
        <v>16.762694053321212</v>
      </c>
      <c r="Q58" s="578">
        <f>+P58*H58</f>
        <v>186.06590399186544</v>
      </c>
      <c r="R58" s="658">
        <f>+P58*H58</f>
        <v>186.06590399186544</v>
      </c>
    </row>
    <row r="59" spans="1:31" ht="15.75" x14ac:dyDescent="0.25">
      <c r="A59" s="129">
        <f>+A58+1</f>
        <v>100002</v>
      </c>
      <c r="B59" s="92" t="s">
        <v>16</v>
      </c>
      <c r="C59" s="112">
        <v>4910</v>
      </c>
      <c r="D59" s="577">
        <v>3.7601368833857216E-2</v>
      </c>
      <c r="E59" s="623">
        <v>0.48</v>
      </c>
      <c r="F59" s="24" t="s">
        <v>216</v>
      </c>
      <c r="G59" s="600">
        <v>9.6</v>
      </c>
      <c r="H59" s="600">
        <v>11.1</v>
      </c>
      <c r="I59" s="607">
        <v>0.21</v>
      </c>
      <c r="J59" s="578">
        <f t="shared" ref="J59:J105" si="20">$J$56*D59</f>
        <v>385511.07430385705</v>
      </c>
      <c r="K59" s="578">
        <f t="shared" ref="K59:K105" si="21">J59/C59</f>
        <v>78.51549374823972</v>
      </c>
      <c r="L59" s="578">
        <f t="shared" ref="L59:L105" si="22">K59*3</f>
        <v>235.54648124471916</v>
      </c>
      <c r="M59" s="578">
        <f t="shared" ref="M59:M63" si="23">+L59/20</f>
        <v>11.777324062235959</v>
      </c>
      <c r="N59" s="578">
        <f t="shared" si="18"/>
        <v>871.52198060546084</v>
      </c>
      <c r="O59" s="578">
        <f t="shared" si="19"/>
        <v>1156533.2229115712</v>
      </c>
      <c r="P59" s="578">
        <f t="shared" ref="P59:P105" si="24">+M59/1</f>
        <v>11.777324062235959</v>
      </c>
      <c r="Q59" s="578">
        <f t="shared" ref="Q59:Q105" si="25">+P59*H59</f>
        <v>130.72829709081913</v>
      </c>
      <c r="R59" s="658">
        <f t="shared" ref="R59:R105" si="26">+P59*H59</f>
        <v>130.72829709081913</v>
      </c>
    </row>
    <row r="60" spans="1:31" ht="15.75" x14ac:dyDescent="0.25">
      <c r="A60" s="129">
        <f t="shared" ref="A60:A105" si="27">+A59+1</f>
        <v>100003</v>
      </c>
      <c r="B60" s="92" t="s">
        <v>17</v>
      </c>
      <c r="C60" s="112">
        <v>6000</v>
      </c>
      <c r="D60" s="577">
        <v>1.0959822872810982E-2</v>
      </c>
      <c r="E60" s="623">
        <v>0.36</v>
      </c>
      <c r="F60" s="24" t="s">
        <v>216</v>
      </c>
      <c r="G60" s="600">
        <v>7.1999999999999993</v>
      </c>
      <c r="H60" s="600">
        <v>8.6999999999999993</v>
      </c>
      <c r="I60" s="607">
        <v>0.21</v>
      </c>
      <c r="J60" s="578">
        <f t="shared" si="20"/>
        <v>112366.47018214218</v>
      </c>
      <c r="K60" s="578">
        <f t="shared" si="21"/>
        <v>18.727745030357031</v>
      </c>
      <c r="L60" s="578">
        <f t="shared" si="22"/>
        <v>56.183235091071097</v>
      </c>
      <c r="M60" s="578">
        <f t="shared" si="23"/>
        <v>2.8091617545535548</v>
      </c>
      <c r="N60" s="578">
        <f t="shared" si="18"/>
        <v>162.93138176410616</v>
      </c>
      <c r="O60" s="578">
        <f t="shared" si="19"/>
        <v>337099.4105464266</v>
      </c>
      <c r="P60" s="578">
        <f t="shared" si="24"/>
        <v>2.8091617545535548</v>
      </c>
      <c r="Q60" s="578">
        <f t="shared" si="25"/>
        <v>24.439707264615926</v>
      </c>
      <c r="R60" s="658">
        <f t="shared" si="26"/>
        <v>24.439707264615926</v>
      </c>
    </row>
    <row r="61" spans="1:31" ht="15.75" x14ac:dyDescent="0.25">
      <c r="A61" s="129">
        <f t="shared" si="27"/>
        <v>100004</v>
      </c>
      <c r="B61" s="92" t="s">
        <v>18</v>
      </c>
      <c r="C61" s="112">
        <v>5130</v>
      </c>
      <c r="D61" s="577">
        <v>2.0869862636506389E-2</v>
      </c>
      <c r="E61" s="623">
        <v>0.4</v>
      </c>
      <c r="F61" s="24" t="s">
        <v>216</v>
      </c>
      <c r="G61" s="600">
        <v>8</v>
      </c>
      <c r="H61" s="600">
        <v>9.5</v>
      </c>
      <c r="I61" s="607">
        <v>0.21</v>
      </c>
      <c r="J61" s="578">
        <f t="shared" si="20"/>
        <v>213969.95415574015</v>
      </c>
      <c r="K61" s="578">
        <f t="shared" si="21"/>
        <v>41.709542720417183</v>
      </c>
      <c r="L61" s="578">
        <f t="shared" si="22"/>
        <v>125.12862816125156</v>
      </c>
      <c r="M61" s="578">
        <f t="shared" si="23"/>
        <v>6.2564314080625776</v>
      </c>
      <c r="N61" s="578">
        <f t="shared" si="18"/>
        <v>396.24065584396322</v>
      </c>
      <c r="O61" s="578">
        <f t="shared" si="19"/>
        <v>641909.86246722052</v>
      </c>
      <c r="P61" s="578">
        <f t="shared" si="24"/>
        <v>6.2564314080625776</v>
      </c>
      <c r="Q61" s="578">
        <f t="shared" si="25"/>
        <v>59.436098376594487</v>
      </c>
      <c r="R61" s="658">
        <f t="shared" si="26"/>
        <v>59.436098376594487</v>
      </c>
    </row>
    <row r="62" spans="1:31" ht="15.75" x14ac:dyDescent="0.25">
      <c r="A62" s="129">
        <f t="shared" si="27"/>
        <v>100005</v>
      </c>
      <c r="B62" s="92" t="s">
        <v>19</v>
      </c>
      <c r="C62" s="112">
        <v>8550</v>
      </c>
      <c r="D62" s="577">
        <v>1.578835457061134E-2</v>
      </c>
      <c r="E62" s="623">
        <v>0.4</v>
      </c>
      <c r="F62" s="24" t="s">
        <v>216</v>
      </c>
      <c r="G62" s="600">
        <v>8</v>
      </c>
      <c r="H62" s="600">
        <v>9.5</v>
      </c>
      <c r="I62" s="607">
        <v>0.21</v>
      </c>
      <c r="J62" s="578">
        <f t="shared" si="20"/>
        <v>161871.38183453778</v>
      </c>
      <c r="K62" s="578">
        <f t="shared" si="21"/>
        <v>18.932325360764654</v>
      </c>
      <c r="L62" s="578">
        <f t="shared" si="22"/>
        <v>56.796976082293966</v>
      </c>
      <c r="M62" s="578">
        <f t="shared" si="23"/>
        <v>2.8398488041146983</v>
      </c>
      <c r="N62" s="578">
        <f t="shared" si="18"/>
        <v>179.85709092726421</v>
      </c>
      <c r="O62" s="578">
        <f t="shared" si="19"/>
        <v>485614.1455036134</v>
      </c>
      <c r="P62" s="578">
        <f t="shared" si="24"/>
        <v>2.8398488041146983</v>
      </c>
      <c r="Q62" s="578">
        <f t="shared" si="25"/>
        <v>26.978563639089636</v>
      </c>
      <c r="R62" s="658">
        <f t="shared" si="26"/>
        <v>26.978563639089636</v>
      </c>
    </row>
    <row r="63" spans="1:31" ht="15.75" x14ac:dyDescent="0.25">
      <c r="A63" s="129">
        <f t="shared" si="27"/>
        <v>100006</v>
      </c>
      <c r="B63" s="92" t="s">
        <v>42</v>
      </c>
      <c r="C63" s="112">
        <v>10100</v>
      </c>
      <c r="D63" s="577">
        <v>1.7467299349658533E-2</v>
      </c>
      <c r="E63" s="623">
        <v>0.4</v>
      </c>
      <c r="F63" s="24" t="s">
        <v>216</v>
      </c>
      <c r="G63" s="600">
        <v>8</v>
      </c>
      <c r="H63" s="600">
        <v>9.5</v>
      </c>
      <c r="I63" s="607">
        <v>0.21</v>
      </c>
      <c r="J63" s="578">
        <f t="shared" si="20"/>
        <v>179084.89893619536</v>
      </c>
      <c r="K63" s="578">
        <f t="shared" si="21"/>
        <v>17.73117811249459</v>
      </c>
      <c r="L63" s="578">
        <f t="shared" si="22"/>
        <v>53.193534337483769</v>
      </c>
      <c r="M63" s="578">
        <f t="shared" si="23"/>
        <v>2.6596767168741886</v>
      </c>
      <c r="N63" s="578">
        <f t="shared" si="18"/>
        <v>168.44619206869859</v>
      </c>
      <c r="O63" s="578">
        <f t="shared" si="19"/>
        <v>537254.69680858601</v>
      </c>
      <c r="P63" s="578">
        <f t="shared" si="24"/>
        <v>2.6596767168741886</v>
      </c>
      <c r="Q63" s="578">
        <f t="shared" si="25"/>
        <v>25.26692881030479</v>
      </c>
      <c r="R63" s="658">
        <f t="shared" si="26"/>
        <v>25.26692881030479</v>
      </c>
    </row>
    <row r="64" spans="1:31" ht="15.75" x14ac:dyDescent="0.25">
      <c r="A64" s="129">
        <f>+A63+1</f>
        <v>100007</v>
      </c>
      <c r="B64" s="93" t="s">
        <v>43</v>
      </c>
      <c r="C64" s="115">
        <v>2340</v>
      </c>
      <c r="D64" s="577">
        <v>2.0689609453558255E-2</v>
      </c>
      <c r="E64" s="625">
        <v>0.08</v>
      </c>
      <c r="F64" s="24" t="s">
        <v>215</v>
      </c>
      <c r="G64" s="601">
        <v>2</v>
      </c>
      <c r="H64" s="601">
        <v>3.5</v>
      </c>
      <c r="I64" s="608">
        <v>0.21</v>
      </c>
      <c r="J64" s="578">
        <f t="shared" si="20"/>
        <v>212121.89382282869</v>
      </c>
      <c r="K64" s="578">
        <f t="shared" si="21"/>
        <v>90.650381975567811</v>
      </c>
      <c r="L64" s="578">
        <f t="shared" si="22"/>
        <v>271.95114592670342</v>
      </c>
      <c r="M64" s="578">
        <f>+L64/25</f>
        <v>10.878045837068136</v>
      </c>
      <c r="N64" s="578">
        <f t="shared" si="18"/>
        <v>317.27633691448733</v>
      </c>
      <c r="O64" s="578">
        <f t="shared" si="19"/>
        <v>636365.68146848597</v>
      </c>
      <c r="P64" s="578">
        <f t="shared" si="24"/>
        <v>10.878045837068136</v>
      </c>
      <c r="Q64" s="578">
        <f t="shared" si="25"/>
        <v>38.073160429738479</v>
      </c>
      <c r="R64" s="658">
        <f t="shared" si="26"/>
        <v>38.073160429738479</v>
      </c>
    </row>
    <row r="65" spans="1:18" ht="15.75" x14ac:dyDescent="0.25">
      <c r="A65" s="129">
        <f t="shared" si="27"/>
        <v>100008</v>
      </c>
      <c r="B65" s="93" t="s">
        <v>47</v>
      </c>
      <c r="C65" s="115">
        <v>2340</v>
      </c>
      <c r="D65" s="577">
        <v>8.7435789522680076E-3</v>
      </c>
      <c r="E65" s="625">
        <v>0.09</v>
      </c>
      <c r="F65" s="24" t="s">
        <v>215</v>
      </c>
      <c r="G65" s="601">
        <v>2.25</v>
      </c>
      <c r="H65" s="601">
        <v>3.75</v>
      </c>
      <c r="I65" s="608">
        <v>0.21</v>
      </c>
      <c r="J65" s="578">
        <f t="shared" si="20"/>
        <v>89644.250187890182</v>
      </c>
      <c r="K65" s="578">
        <f t="shared" si="21"/>
        <v>38.309508627303494</v>
      </c>
      <c r="L65" s="578">
        <f t="shared" si="22"/>
        <v>114.92852588191047</v>
      </c>
      <c r="M65" s="578">
        <f t="shared" ref="M65:M67" si="28">+L65/25</f>
        <v>4.5971410352764188</v>
      </c>
      <c r="N65" s="578">
        <f t="shared" si="18"/>
        <v>143.66065735238811</v>
      </c>
      <c r="O65" s="578">
        <f t="shared" si="19"/>
        <v>268932.75056367053</v>
      </c>
      <c r="P65" s="578">
        <f t="shared" si="24"/>
        <v>4.5971410352764188</v>
      </c>
      <c r="Q65" s="578">
        <f t="shared" si="25"/>
        <v>17.23927888228657</v>
      </c>
      <c r="R65" s="658">
        <f t="shared" si="26"/>
        <v>17.23927888228657</v>
      </c>
    </row>
    <row r="66" spans="1:18" ht="15.75" x14ac:dyDescent="0.25">
      <c r="A66" s="129">
        <f t="shared" si="27"/>
        <v>100009</v>
      </c>
      <c r="B66" s="93" t="s">
        <v>50</v>
      </c>
      <c r="C66" s="115">
        <v>2240</v>
      </c>
      <c r="D66" s="577">
        <v>3.4666989811607013E-2</v>
      </c>
      <c r="E66" s="625">
        <v>0.1</v>
      </c>
      <c r="F66" s="24" t="s">
        <v>215</v>
      </c>
      <c r="G66" s="601">
        <v>2.5</v>
      </c>
      <c r="H66" s="601">
        <v>4</v>
      </c>
      <c r="I66" s="608">
        <v>0.21</v>
      </c>
      <c r="J66" s="578">
        <f t="shared" si="20"/>
        <v>355426.11611308547</v>
      </c>
      <c r="K66" s="578">
        <f t="shared" si="21"/>
        <v>158.6723732647703</v>
      </c>
      <c r="L66" s="578">
        <f t="shared" si="22"/>
        <v>476.01711979431093</v>
      </c>
      <c r="M66" s="578">
        <f t="shared" si="28"/>
        <v>19.040684791772438</v>
      </c>
      <c r="N66" s="578">
        <f t="shared" si="18"/>
        <v>634.6894930590812</v>
      </c>
      <c r="O66" s="578">
        <f t="shared" si="19"/>
        <v>1066278.3483392564</v>
      </c>
      <c r="P66" s="578">
        <f t="shared" si="24"/>
        <v>19.040684791772438</v>
      </c>
      <c r="Q66" s="578">
        <f t="shared" si="25"/>
        <v>76.162739167089754</v>
      </c>
      <c r="R66" s="658">
        <f t="shared" si="26"/>
        <v>76.162739167089754</v>
      </c>
    </row>
    <row r="67" spans="1:18" ht="15.75" x14ac:dyDescent="0.25">
      <c r="A67" s="129">
        <f t="shared" si="27"/>
        <v>100010</v>
      </c>
      <c r="B67" s="93" t="s">
        <v>52</v>
      </c>
      <c r="C67" s="115">
        <v>2300</v>
      </c>
      <c r="D67" s="577">
        <v>2.8351594888090376E-2</v>
      </c>
      <c r="E67" s="625">
        <v>0.36</v>
      </c>
      <c r="F67" s="24" t="s">
        <v>215</v>
      </c>
      <c r="G67" s="601">
        <v>9</v>
      </c>
      <c r="H67" s="601">
        <v>10.5</v>
      </c>
      <c r="I67" s="608">
        <v>0.21</v>
      </c>
      <c r="J67" s="578">
        <f t="shared" si="20"/>
        <v>290677.01901570003</v>
      </c>
      <c r="K67" s="578">
        <f t="shared" si="21"/>
        <v>126.38131261552175</v>
      </c>
      <c r="L67" s="578">
        <f t="shared" si="22"/>
        <v>379.14393784656522</v>
      </c>
      <c r="M67" s="578">
        <f t="shared" si="28"/>
        <v>15.165757513862609</v>
      </c>
      <c r="N67" s="578">
        <f t="shared" si="18"/>
        <v>1327.0037824629783</v>
      </c>
      <c r="O67" s="578">
        <f t="shared" si="19"/>
        <v>872031.05704710004</v>
      </c>
      <c r="P67" s="578">
        <f t="shared" si="24"/>
        <v>15.165757513862609</v>
      </c>
      <c r="Q67" s="578">
        <f t="shared" si="25"/>
        <v>159.24045389555738</v>
      </c>
      <c r="R67" s="658">
        <f t="shared" si="26"/>
        <v>159.24045389555738</v>
      </c>
    </row>
    <row r="68" spans="1:18" ht="15.75" x14ac:dyDescent="0.25">
      <c r="A68" s="129">
        <f t="shared" si="27"/>
        <v>100011</v>
      </c>
      <c r="B68" s="93" t="s">
        <v>53</v>
      </c>
      <c r="C68" s="115">
        <v>1260</v>
      </c>
      <c r="D68" s="577">
        <v>1.8298463263697554E-2</v>
      </c>
      <c r="E68" s="625">
        <v>0.15</v>
      </c>
      <c r="F68" s="24" t="s">
        <v>216</v>
      </c>
      <c r="G68" s="601">
        <v>3</v>
      </c>
      <c r="H68" s="601">
        <v>4.5</v>
      </c>
      <c r="I68" s="608">
        <v>0.21</v>
      </c>
      <c r="J68" s="578">
        <f t="shared" si="20"/>
        <v>187606.47417031994</v>
      </c>
      <c r="K68" s="578">
        <f t="shared" si="21"/>
        <v>148.89402711930154</v>
      </c>
      <c r="L68" s="578">
        <f t="shared" si="22"/>
        <v>446.68208135790462</v>
      </c>
      <c r="M68" s="578">
        <f t="shared" ref="M68:M74" si="29">+L68/20</f>
        <v>22.334104067895233</v>
      </c>
      <c r="N68" s="578">
        <f t="shared" si="18"/>
        <v>670.02312203685688</v>
      </c>
      <c r="O68" s="578">
        <f t="shared" si="19"/>
        <v>562819.42251095979</v>
      </c>
      <c r="P68" s="578">
        <f t="shared" si="24"/>
        <v>22.334104067895233</v>
      </c>
      <c r="Q68" s="578">
        <f t="shared" si="25"/>
        <v>100.50346830552854</v>
      </c>
      <c r="R68" s="658">
        <f t="shared" si="26"/>
        <v>100.50346830552854</v>
      </c>
    </row>
    <row r="69" spans="1:18" ht="15.75" x14ac:dyDescent="0.25">
      <c r="A69" s="129">
        <f t="shared" si="27"/>
        <v>100012</v>
      </c>
      <c r="B69" s="93" t="s">
        <v>55</v>
      </c>
      <c r="C69" s="115">
        <v>1260</v>
      </c>
      <c r="D69" s="577">
        <v>1.4356577442554015E-2</v>
      </c>
      <c r="E69" s="625">
        <v>0.09</v>
      </c>
      <c r="F69" s="24" t="s">
        <v>216</v>
      </c>
      <c r="G69" s="601">
        <v>1.7999999999999998</v>
      </c>
      <c r="H69" s="601">
        <v>3.3</v>
      </c>
      <c r="I69" s="608">
        <v>0.21</v>
      </c>
      <c r="J69" s="578">
        <f t="shared" si="20"/>
        <v>147191.97105989422</v>
      </c>
      <c r="K69" s="578">
        <f t="shared" si="21"/>
        <v>116.81902465070969</v>
      </c>
      <c r="L69" s="578">
        <f t="shared" si="22"/>
        <v>350.45707395212906</v>
      </c>
      <c r="M69" s="578">
        <f t="shared" si="29"/>
        <v>17.522853697606454</v>
      </c>
      <c r="N69" s="578">
        <f t="shared" si="18"/>
        <v>385.50278134734197</v>
      </c>
      <c r="O69" s="578">
        <f t="shared" si="19"/>
        <v>441575.91317968263</v>
      </c>
      <c r="P69" s="578">
        <f t="shared" si="24"/>
        <v>17.522853697606454</v>
      </c>
      <c r="Q69" s="578">
        <f t="shared" si="25"/>
        <v>57.825417202101292</v>
      </c>
      <c r="R69" s="658">
        <f t="shared" si="26"/>
        <v>57.825417202101292</v>
      </c>
    </row>
    <row r="70" spans="1:18" ht="15.75" x14ac:dyDescent="0.25">
      <c r="A70" s="129">
        <f t="shared" si="27"/>
        <v>100013</v>
      </c>
      <c r="B70" s="93" t="s">
        <v>57</v>
      </c>
      <c r="C70" s="115">
        <v>2710</v>
      </c>
      <c r="D70" s="577">
        <v>2.098811690004827E-2</v>
      </c>
      <c r="E70" s="625">
        <v>0.18</v>
      </c>
      <c r="F70" s="24" t="s">
        <v>218</v>
      </c>
      <c r="G70" s="601">
        <v>3.5999999999999996</v>
      </c>
      <c r="H70" s="601">
        <v>5.0999999999999996</v>
      </c>
      <c r="I70" s="608">
        <v>0.21</v>
      </c>
      <c r="J70" s="578">
        <f t="shared" si="20"/>
        <v>215182.36555439097</v>
      </c>
      <c r="K70" s="578">
        <f t="shared" si="21"/>
        <v>79.403086920439478</v>
      </c>
      <c r="L70" s="578">
        <f t="shared" si="22"/>
        <v>238.20926076131843</v>
      </c>
      <c r="M70" s="578">
        <f t="shared" si="29"/>
        <v>11.910463038065922</v>
      </c>
      <c r="N70" s="578">
        <f t="shared" si="18"/>
        <v>404.9557432942413</v>
      </c>
      <c r="O70" s="578">
        <f t="shared" si="19"/>
        <v>645547.09666317294</v>
      </c>
      <c r="P70" s="578">
        <f t="shared" si="24"/>
        <v>11.910463038065922</v>
      </c>
      <c r="Q70" s="578">
        <f t="shared" si="25"/>
        <v>60.743361494136195</v>
      </c>
      <c r="R70" s="658">
        <f t="shared" si="26"/>
        <v>60.743361494136195</v>
      </c>
    </row>
    <row r="71" spans="1:18" ht="15.75" x14ac:dyDescent="0.25">
      <c r="A71" s="129">
        <f t="shared" si="27"/>
        <v>100014</v>
      </c>
      <c r="B71" s="93" t="s">
        <v>59</v>
      </c>
      <c r="C71" s="115">
        <v>1480</v>
      </c>
      <c r="D71" s="577">
        <v>2.0679468122106363E-2</v>
      </c>
      <c r="E71" s="625">
        <v>0.56000000000000005</v>
      </c>
      <c r="F71" s="24" t="s">
        <v>219</v>
      </c>
      <c r="G71" s="601">
        <v>11.200000000000001</v>
      </c>
      <c r="H71" s="601">
        <v>13.000000000000002</v>
      </c>
      <c r="I71" s="608">
        <v>0.35</v>
      </c>
      <c r="J71" s="578">
        <f t="shared" si="20"/>
        <v>212017.9190021203</v>
      </c>
      <c r="K71" s="578">
        <f t="shared" si="21"/>
        <v>143.25535067710831</v>
      </c>
      <c r="L71" s="578">
        <f t="shared" si="22"/>
        <v>429.76605203132493</v>
      </c>
      <c r="M71" s="578">
        <f t="shared" si="29"/>
        <v>21.488302601566247</v>
      </c>
      <c r="N71" s="578">
        <f t="shared" si="18"/>
        <v>1862.3195588024082</v>
      </c>
      <c r="O71" s="578">
        <f t="shared" si="19"/>
        <v>636053.75700636092</v>
      </c>
      <c r="P71" s="578">
        <f t="shared" si="24"/>
        <v>21.488302601566247</v>
      </c>
      <c r="Q71" s="578">
        <f t="shared" si="25"/>
        <v>279.34793382036122</v>
      </c>
      <c r="R71" s="658">
        <f t="shared" si="26"/>
        <v>279.34793382036122</v>
      </c>
    </row>
    <row r="72" spans="1:18" ht="15.75" x14ac:dyDescent="0.25">
      <c r="A72" s="129">
        <f>+A71+1</f>
        <v>100015</v>
      </c>
      <c r="B72" s="94" t="s">
        <v>62</v>
      </c>
      <c r="C72" s="241">
        <v>2360</v>
      </c>
      <c r="D72" s="577">
        <v>5.4548355917159799E-2</v>
      </c>
      <c r="E72" s="627">
        <v>0.60000000000000009</v>
      </c>
      <c r="F72" s="24" t="s">
        <v>216</v>
      </c>
      <c r="G72" s="602">
        <v>12.000000000000002</v>
      </c>
      <c r="H72" s="602">
        <v>13.500000000000002</v>
      </c>
      <c r="I72" s="609">
        <v>0.21</v>
      </c>
      <c r="J72" s="578">
        <f t="shared" si="20"/>
        <v>559261.42965833726</v>
      </c>
      <c r="K72" s="578">
        <f t="shared" si="21"/>
        <v>236.97518205861749</v>
      </c>
      <c r="L72" s="578">
        <f t="shared" si="22"/>
        <v>710.92554617585245</v>
      </c>
      <c r="M72" s="578">
        <f t="shared" si="29"/>
        <v>35.546277308792625</v>
      </c>
      <c r="N72" s="578">
        <f t="shared" si="18"/>
        <v>3199.1649577913367</v>
      </c>
      <c r="O72" s="578">
        <f t="shared" si="19"/>
        <v>1677784.2889750118</v>
      </c>
      <c r="P72" s="578">
        <f t="shared" si="24"/>
        <v>35.546277308792625</v>
      </c>
      <c r="Q72" s="578">
        <f t="shared" si="25"/>
        <v>479.87474366870049</v>
      </c>
      <c r="R72" s="658">
        <f t="shared" si="26"/>
        <v>479.87474366870049</v>
      </c>
    </row>
    <row r="73" spans="1:18" ht="15.75" x14ac:dyDescent="0.25">
      <c r="A73" s="129">
        <f t="shared" si="27"/>
        <v>100016</v>
      </c>
      <c r="B73" s="94" t="s">
        <v>65</v>
      </c>
      <c r="C73" s="241">
        <v>5000</v>
      </c>
      <c r="D73" s="577">
        <v>1.2735897046611974E-2</v>
      </c>
      <c r="E73" s="627">
        <v>0.48</v>
      </c>
      <c r="F73" s="24" t="s">
        <v>218</v>
      </c>
      <c r="G73" s="602">
        <v>9.6</v>
      </c>
      <c r="H73" s="602">
        <v>11.1</v>
      </c>
      <c r="I73" s="609">
        <v>0.21</v>
      </c>
      <c r="J73" s="578">
        <f t="shared" si="20"/>
        <v>130575.81425710676</v>
      </c>
      <c r="K73" s="578">
        <f t="shared" si="21"/>
        <v>26.115162851421353</v>
      </c>
      <c r="L73" s="578">
        <f t="shared" si="22"/>
        <v>78.345488554264051</v>
      </c>
      <c r="M73" s="578">
        <f t="shared" si="29"/>
        <v>3.9172744277132026</v>
      </c>
      <c r="N73" s="578">
        <f t="shared" si="18"/>
        <v>289.878307650777</v>
      </c>
      <c r="O73" s="578">
        <f t="shared" si="19"/>
        <v>391727.44277132023</v>
      </c>
      <c r="P73" s="578">
        <f t="shared" si="24"/>
        <v>3.9172744277132026</v>
      </c>
      <c r="Q73" s="578">
        <f t="shared" si="25"/>
        <v>43.481746147616548</v>
      </c>
      <c r="R73" s="658">
        <f t="shared" si="26"/>
        <v>43.481746147616548</v>
      </c>
    </row>
    <row r="74" spans="1:18" ht="15.75" x14ac:dyDescent="0.25">
      <c r="A74" s="129">
        <f t="shared" si="27"/>
        <v>100017</v>
      </c>
      <c r="B74" s="94" t="s">
        <v>66</v>
      </c>
      <c r="C74" s="241">
        <v>3590</v>
      </c>
      <c r="D74" s="577">
        <v>9.1809484158309283E-3</v>
      </c>
      <c r="E74" s="627">
        <v>0.2</v>
      </c>
      <c r="F74" s="24" t="s">
        <v>218</v>
      </c>
      <c r="G74" s="602">
        <v>4</v>
      </c>
      <c r="H74" s="602">
        <v>5.5</v>
      </c>
      <c r="I74" s="609">
        <v>0.21</v>
      </c>
      <c r="J74" s="578">
        <f t="shared" si="20"/>
        <v>94128.4159774617</v>
      </c>
      <c r="K74" s="578">
        <f t="shared" si="21"/>
        <v>26.219614478401589</v>
      </c>
      <c r="L74" s="578">
        <f t="shared" si="22"/>
        <v>78.658843435204773</v>
      </c>
      <c r="M74" s="578">
        <f t="shared" si="29"/>
        <v>3.9329421717602386</v>
      </c>
      <c r="N74" s="578">
        <f t="shared" si="18"/>
        <v>144.20787963120873</v>
      </c>
      <c r="O74" s="578">
        <f t="shared" si="19"/>
        <v>282385.24793238513</v>
      </c>
      <c r="P74" s="578">
        <f t="shared" si="24"/>
        <v>3.9329421717602386</v>
      </c>
      <c r="Q74" s="578">
        <f t="shared" si="25"/>
        <v>21.631181944681313</v>
      </c>
      <c r="R74" s="658">
        <f t="shared" si="26"/>
        <v>21.631181944681313</v>
      </c>
    </row>
    <row r="75" spans="1:18" ht="15.75" x14ac:dyDescent="0.25">
      <c r="A75" s="129">
        <f t="shared" si="27"/>
        <v>100018</v>
      </c>
      <c r="B75" s="94" t="s">
        <v>68</v>
      </c>
      <c r="C75" s="241">
        <v>12330</v>
      </c>
      <c r="D75" s="577">
        <v>8.7539275592806512E-3</v>
      </c>
      <c r="E75" s="627">
        <v>0.12</v>
      </c>
      <c r="F75" s="24" t="s">
        <v>215</v>
      </c>
      <c r="G75" s="602">
        <v>3</v>
      </c>
      <c r="H75" s="602">
        <v>4.5</v>
      </c>
      <c r="I75" s="609">
        <v>0.21</v>
      </c>
      <c r="J75" s="578">
        <f t="shared" si="20"/>
        <v>89750.350118044866</v>
      </c>
      <c r="K75" s="578">
        <f t="shared" si="21"/>
        <v>7.2790227184140202</v>
      </c>
      <c r="L75" s="578">
        <f t="shared" si="22"/>
        <v>21.837068155242061</v>
      </c>
      <c r="M75" s="578">
        <f t="shared" ref="M75" si="30">+L75/25</f>
        <v>0.87348272620968248</v>
      </c>
      <c r="N75" s="578">
        <f t="shared" si="18"/>
        <v>32.75560223286309</v>
      </c>
      <c r="O75" s="578">
        <f t="shared" si="19"/>
        <v>269251.05035413464</v>
      </c>
      <c r="P75" s="578">
        <f t="shared" si="24"/>
        <v>0.87348272620968248</v>
      </c>
      <c r="Q75" s="578">
        <f t="shared" si="25"/>
        <v>3.9306722679435713</v>
      </c>
      <c r="R75" s="658">
        <f t="shared" si="26"/>
        <v>3.9306722679435713</v>
      </c>
    </row>
    <row r="76" spans="1:18" ht="15.75" x14ac:dyDescent="0.25">
      <c r="A76" s="129">
        <f t="shared" si="27"/>
        <v>100019</v>
      </c>
      <c r="B76" s="94" t="s">
        <v>70</v>
      </c>
      <c r="C76" s="241">
        <v>7480</v>
      </c>
      <c r="D76" s="577">
        <v>7.6756998964912062E-3</v>
      </c>
      <c r="E76" s="627">
        <v>8.5000000000000006E-2</v>
      </c>
      <c r="F76" s="24" t="s">
        <v>214</v>
      </c>
      <c r="G76" s="602">
        <v>1.02</v>
      </c>
      <c r="H76" s="602">
        <v>2.52</v>
      </c>
      <c r="I76" s="609">
        <v>1.2000000000000002E-2</v>
      </c>
      <c r="J76" s="578">
        <f t="shared" si="20"/>
        <v>78695.733823017392</v>
      </c>
      <c r="K76" s="578">
        <f t="shared" si="21"/>
        <v>10.520820029815159</v>
      </c>
      <c r="L76" s="578">
        <f t="shared" si="22"/>
        <v>31.562460089445477</v>
      </c>
      <c r="M76" s="578">
        <f>+L76/12</f>
        <v>2.6302050074537897</v>
      </c>
      <c r="N76" s="578">
        <f t="shared" si="18"/>
        <v>26.5124664751342</v>
      </c>
      <c r="O76" s="578">
        <f t="shared" si="19"/>
        <v>236087.20146905218</v>
      </c>
      <c r="P76" s="578">
        <f t="shared" si="24"/>
        <v>2.6302050074537897</v>
      </c>
      <c r="Q76" s="578">
        <f t="shared" si="25"/>
        <v>6.6281166187835501</v>
      </c>
      <c r="R76" s="658">
        <f t="shared" si="26"/>
        <v>6.6281166187835501</v>
      </c>
    </row>
    <row r="77" spans="1:18" ht="15.75" x14ac:dyDescent="0.25">
      <c r="A77" s="129">
        <f t="shared" si="27"/>
        <v>100020</v>
      </c>
      <c r="B77" s="94" t="s">
        <v>72</v>
      </c>
      <c r="C77" s="241">
        <v>4100</v>
      </c>
      <c r="D77" s="577">
        <v>5.1954204213616869E-3</v>
      </c>
      <c r="E77" s="627">
        <v>0.84000000000000008</v>
      </c>
      <c r="F77" s="24" t="s">
        <v>224</v>
      </c>
      <c r="G77" s="602">
        <v>6.7200000000000006</v>
      </c>
      <c r="H77" s="602">
        <v>8.2200000000000006</v>
      </c>
      <c r="I77" s="609">
        <v>0.21</v>
      </c>
      <c r="J77" s="578">
        <f t="shared" si="20"/>
        <v>53266.467956238004</v>
      </c>
      <c r="K77" s="578">
        <f t="shared" si="21"/>
        <v>12.991821452740977</v>
      </c>
      <c r="L77" s="578">
        <f t="shared" si="22"/>
        <v>38.975464358222929</v>
      </c>
      <c r="M77" s="578">
        <f>+L77/8</f>
        <v>4.8719330447778662</v>
      </c>
      <c r="N77" s="578">
        <f t="shared" si="18"/>
        <v>106.79277234153083</v>
      </c>
      <c r="O77" s="578">
        <f t="shared" si="19"/>
        <v>159799.403868714</v>
      </c>
      <c r="P77" s="578">
        <f t="shared" si="24"/>
        <v>4.8719330447778662</v>
      </c>
      <c r="Q77" s="578">
        <f t="shared" si="25"/>
        <v>40.047289628074061</v>
      </c>
      <c r="R77" s="658">
        <f t="shared" si="26"/>
        <v>40.047289628074061</v>
      </c>
    </row>
    <row r="78" spans="1:18" ht="15.75" x14ac:dyDescent="0.25">
      <c r="A78" s="129">
        <f>+A77+1</f>
        <v>100021</v>
      </c>
      <c r="B78" s="92" t="s">
        <v>73</v>
      </c>
      <c r="C78" s="243">
        <v>3300</v>
      </c>
      <c r="D78" s="577">
        <v>7.8910293316201436E-3</v>
      </c>
      <c r="E78" s="629">
        <v>2.5499999999999998</v>
      </c>
      <c r="F78" s="24" t="s">
        <v>223</v>
      </c>
      <c r="G78" s="603">
        <v>10.199999999999999</v>
      </c>
      <c r="H78" s="603">
        <v>11.7</v>
      </c>
      <c r="I78" s="610">
        <v>0.21</v>
      </c>
      <c r="J78" s="578">
        <f t="shared" si="20"/>
        <v>80903.416267573863</v>
      </c>
      <c r="K78" s="578">
        <f t="shared" si="21"/>
        <v>24.516186747749654</v>
      </c>
      <c r="L78" s="578">
        <f t="shared" si="22"/>
        <v>73.548560243248957</v>
      </c>
      <c r="M78" s="578">
        <f>+L78/4</f>
        <v>18.387140060812239</v>
      </c>
      <c r="N78" s="578">
        <f t="shared" si="18"/>
        <v>286.83938494867095</v>
      </c>
      <c r="O78" s="578">
        <f t="shared" si="19"/>
        <v>242710.24880272156</v>
      </c>
      <c r="P78" s="578">
        <f t="shared" si="24"/>
        <v>18.387140060812239</v>
      </c>
      <c r="Q78" s="578">
        <f t="shared" si="25"/>
        <v>215.12953871150319</v>
      </c>
      <c r="R78" s="658">
        <f t="shared" si="26"/>
        <v>215.12953871150319</v>
      </c>
    </row>
    <row r="79" spans="1:18" ht="15.75" x14ac:dyDescent="0.25">
      <c r="A79" s="129">
        <f t="shared" si="27"/>
        <v>100022</v>
      </c>
      <c r="B79" s="92" t="s">
        <v>76</v>
      </c>
      <c r="C79" s="243">
        <v>3000</v>
      </c>
      <c r="D79" s="577">
        <v>9.4692351979441727E-3</v>
      </c>
      <c r="E79" s="629">
        <v>1.7879999999999998</v>
      </c>
      <c r="F79" s="24" t="s">
        <v>223</v>
      </c>
      <c r="G79" s="603">
        <v>7.1519999999999992</v>
      </c>
      <c r="H79" s="603">
        <v>8.6519999999999992</v>
      </c>
      <c r="I79" s="610">
        <v>0.21</v>
      </c>
      <c r="J79" s="578">
        <f t="shared" si="20"/>
        <v>97084.099521088647</v>
      </c>
      <c r="K79" s="578">
        <f t="shared" si="21"/>
        <v>32.361366507029551</v>
      </c>
      <c r="L79" s="578">
        <f t="shared" si="22"/>
        <v>97.08409952108866</v>
      </c>
      <c r="M79" s="578">
        <f t="shared" ref="M79:M86" si="31">+L79/4</f>
        <v>24.271024880272165</v>
      </c>
      <c r="N79" s="578">
        <f t="shared" si="18"/>
        <v>279.99054301881966</v>
      </c>
      <c r="O79" s="578">
        <f t="shared" si="19"/>
        <v>291252.298563266</v>
      </c>
      <c r="P79" s="578">
        <f t="shared" si="24"/>
        <v>24.271024880272165</v>
      </c>
      <c r="Q79" s="578">
        <f t="shared" si="25"/>
        <v>209.99290726411476</v>
      </c>
      <c r="R79" s="658">
        <f t="shared" si="26"/>
        <v>209.99290726411476</v>
      </c>
    </row>
    <row r="80" spans="1:18" ht="15.75" x14ac:dyDescent="0.25">
      <c r="A80" s="129">
        <f t="shared" si="27"/>
        <v>100023</v>
      </c>
      <c r="B80" s="92" t="s">
        <v>78</v>
      </c>
      <c r="C80" s="243">
        <v>3800</v>
      </c>
      <c r="D80" s="577">
        <v>1.2625646930592231E-2</v>
      </c>
      <c r="E80" s="629">
        <v>1.02</v>
      </c>
      <c r="F80" s="24" t="s">
        <v>223</v>
      </c>
      <c r="G80" s="603">
        <v>4.08</v>
      </c>
      <c r="H80" s="603">
        <v>5.58</v>
      </c>
      <c r="I80" s="610">
        <v>0.21</v>
      </c>
      <c r="J80" s="578">
        <f t="shared" si="20"/>
        <v>129445.4660281182</v>
      </c>
      <c r="K80" s="578">
        <f t="shared" si="21"/>
        <v>34.064596323189001</v>
      </c>
      <c r="L80" s="578">
        <f t="shared" si="22"/>
        <v>102.19378896956701</v>
      </c>
      <c r="M80" s="578">
        <f t="shared" si="31"/>
        <v>25.548447242391752</v>
      </c>
      <c r="N80" s="578">
        <f t="shared" si="18"/>
        <v>190.08044748339464</v>
      </c>
      <c r="O80" s="578">
        <f t="shared" si="19"/>
        <v>388336.39808435465</v>
      </c>
      <c r="P80" s="578">
        <f t="shared" si="24"/>
        <v>25.548447242391752</v>
      </c>
      <c r="Q80" s="578">
        <f t="shared" si="25"/>
        <v>142.56033561254597</v>
      </c>
      <c r="R80" s="658">
        <f t="shared" si="26"/>
        <v>142.56033561254597</v>
      </c>
    </row>
    <row r="81" spans="1:18" ht="15.75" x14ac:dyDescent="0.25">
      <c r="A81" s="129">
        <f t="shared" si="27"/>
        <v>100024</v>
      </c>
      <c r="B81" s="95" t="s">
        <v>80</v>
      </c>
      <c r="C81" s="243">
        <v>2300</v>
      </c>
      <c r="D81" s="577">
        <v>1.8938470395888345E-2</v>
      </c>
      <c r="E81" s="629">
        <v>1.1040000000000001</v>
      </c>
      <c r="F81" s="24" t="s">
        <v>223</v>
      </c>
      <c r="G81" s="603">
        <v>4.4160000000000004</v>
      </c>
      <c r="H81" s="603">
        <v>5.9160000000000004</v>
      </c>
      <c r="I81" s="610">
        <v>0.21</v>
      </c>
      <c r="J81" s="578">
        <f t="shared" si="20"/>
        <v>194168.19904217729</v>
      </c>
      <c r="K81" s="578">
        <f t="shared" si="21"/>
        <v>84.420956105294479</v>
      </c>
      <c r="L81" s="578">
        <f t="shared" si="22"/>
        <v>253.26286831588345</v>
      </c>
      <c r="M81" s="578">
        <f t="shared" si="31"/>
        <v>63.315717078970863</v>
      </c>
      <c r="N81" s="578">
        <f t="shared" si="18"/>
        <v>499.43437631892215</v>
      </c>
      <c r="O81" s="578">
        <f t="shared" si="19"/>
        <v>582504.597126532</v>
      </c>
      <c r="P81" s="578">
        <f t="shared" si="24"/>
        <v>63.315717078970863</v>
      </c>
      <c r="Q81" s="578">
        <f t="shared" si="25"/>
        <v>374.57578223919165</v>
      </c>
      <c r="R81" s="658">
        <f t="shared" si="26"/>
        <v>374.57578223919165</v>
      </c>
    </row>
    <row r="82" spans="1:18" ht="15.75" x14ac:dyDescent="0.25">
      <c r="A82" s="129">
        <f t="shared" si="27"/>
        <v>100025</v>
      </c>
      <c r="B82" s="95" t="s">
        <v>82</v>
      </c>
      <c r="C82" s="243">
        <v>3900</v>
      </c>
      <c r="D82" s="577">
        <v>9.4692351979441727E-3</v>
      </c>
      <c r="E82" s="629">
        <v>2.1239999999999997</v>
      </c>
      <c r="F82" s="24" t="s">
        <v>223</v>
      </c>
      <c r="G82" s="603">
        <v>8.4959999999999987</v>
      </c>
      <c r="H82" s="603">
        <v>9.9959999999999987</v>
      </c>
      <c r="I82" s="610">
        <v>0.21</v>
      </c>
      <c r="J82" s="578">
        <f t="shared" si="20"/>
        <v>97084.099521088647</v>
      </c>
      <c r="K82" s="578">
        <f t="shared" si="21"/>
        <v>24.893358851561192</v>
      </c>
      <c r="L82" s="578">
        <f t="shared" si="22"/>
        <v>74.680076554683581</v>
      </c>
      <c r="M82" s="578">
        <f t="shared" si="31"/>
        <v>18.670019138670895</v>
      </c>
      <c r="N82" s="578">
        <f t="shared" si="18"/>
        <v>248.83401508020563</v>
      </c>
      <c r="O82" s="578">
        <f t="shared" si="19"/>
        <v>291252.29856326594</v>
      </c>
      <c r="P82" s="578">
        <f t="shared" si="24"/>
        <v>18.670019138670895</v>
      </c>
      <c r="Q82" s="578">
        <f t="shared" si="25"/>
        <v>186.62551131015425</v>
      </c>
      <c r="R82" s="658">
        <f t="shared" si="26"/>
        <v>186.62551131015425</v>
      </c>
    </row>
    <row r="83" spans="1:18" ht="15.75" x14ac:dyDescent="0.25">
      <c r="A83" s="129">
        <f t="shared" si="27"/>
        <v>100026</v>
      </c>
      <c r="B83" s="95" t="s">
        <v>84</v>
      </c>
      <c r="C83" s="243">
        <v>3000</v>
      </c>
      <c r="D83" s="577">
        <v>2.0516676262212374E-2</v>
      </c>
      <c r="E83" s="629">
        <v>1.1040000000000001</v>
      </c>
      <c r="F83" s="24" t="s">
        <v>223</v>
      </c>
      <c r="G83" s="603">
        <v>4.4160000000000004</v>
      </c>
      <c r="H83" s="603">
        <v>5.9160000000000004</v>
      </c>
      <c r="I83" s="610">
        <v>0.21</v>
      </c>
      <c r="J83" s="578">
        <f t="shared" si="20"/>
        <v>210348.88229569205</v>
      </c>
      <c r="K83" s="578">
        <f t="shared" si="21"/>
        <v>70.116294098564012</v>
      </c>
      <c r="L83" s="578">
        <f t="shared" si="22"/>
        <v>210.34888229569202</v>
      </c>
      <c r="M83" s="578">
        <f t="shared" si="31"/>
        <v>52.587220573923005</v>
      </c>
      <c r="N83" s="578">
        <f t="shared" si="18"/>
        <v>414.80799588710471</v>
      </c>
      <c r="O83" s="578">
        <f t="shared" si="19"/>
        <v>631046.64688707609</v>
      </c>
      <c r="P83" s="578">
        <f t="shared" si="24"/>
        <v>52.587220573923005</v>
      </c>
      <c r="Q83" s="578">
        <f t="shared" si="25"/>
        <v>311.10599691532855</v>
      </c>
      <c r="R83" s="658">
        <f t="shared" si="26"/>
        <v>311.10599691532855</v>
      </c>
    </row>
    <row r="84" spans="1:18" ht="15.75" x14ac:dyDescent="0.25">
      <c r="A84" s="129">
        <f t="shared" si="27"/>
        <v>100027</v>
      </c>
      <c r="B84" s="95" t="s">
        <v>85</v>
      </c>
      <c r="C84" s="118">
        <v>4100</v>
      </c>
      <c r="D84" s="577">
        <v>7.8910293316201436E-3</v>
      </c>
      <c r="E84" s="631">
        <v>2.1239999999999997</v>
      </c>
      <c r="F84" s="24" t="s">
        <v>223</v>
      </c>
      <c r="G84" s="604">
        <v>8.4959999999999987</v>
      </c>
      <c r="H84" s="604">
        <v>9.9959999999999987</v>
      </c>
      <c r="I84" s="611">
        <v>0.21</v>
      </c>
      <c r="J84" s="578">
        <f t="shared" si="20"/>
        <v>80903.416267573863</v>
      </c>
      <c r="K84" s="578">
        <f t="shared" si="21"/>
        <v>19.732540553066794</v>
      </c>
      <c r="L84" s="578">
        <f t="shared" si="22"/>
        <v>59.197621659200379</v>
      </c>
      <c r="M84" s="578">
        <f t="shared" si="31"/>
        <v>14.799405414800095</v>
      </c>
      <c r="N84" s="578">
        <f t="shared" si="18"/>
        <v>197.24647536845566</v>
      </c>
      <c r="O84" s="578">
        <f t="shared" si="19"/>
        <v>242710.24880272156</v>
      </c>
      <c r="P84" s="578">
        <f t="shared" si="24"/>
        <v>14.799405414800095</v>
      </c>
      <c r="Q84" s="578">
        <f t="shared" si="25"/>
        <v>147.93485652634172</v>
      </c>
      <c r="R84" s="658">
        <f t="shared" si="26"/>
        <v>147.93485652634172</v>
      </c>
    </row>
    <row r="85" spans="1:18" ht="15.75" x14ac:dyDescent="0.25">
      <c r="A85" s="129">
        <f>+A84+1</f>
        <v>100028</v>
      </c>
      <c r="B85" s="95" t="s">
        <v>86</v>
      </c>
      <c r="C85" s="245">
        <v>2350</v>
      </c>
      <c r="D85" s="577">
        <v>7.8910293316201436E-3</v>
      </c>
      <c r="E85" s="633">
        <v>1.2000000000000002</v>
      </c>
      <c r="F85" s="24" t="s">
        <v>216</v>
      </c>
      <c r="G85" s="605">
        <v>24.000000000000004</v>
      </c>
      <c r="H85" s="605">
        <v>25.500000000000004</v>
      </c>
      <c r="I85" s="612">
        <v>0.21</v>
      </c>
      <c r="J85" s="578">
        <f t="shared" si="20"/>
        <v>80903.416267573863</v>
      </c>
      <c r="K85" s="578">
        <f t="shared" si="21"/>
        <v>34.426985645776114</v>
      </c>
      <c r="L85" s="578">
        <f t="shared" si="22"/>
        <v>103.28095693732834</v>
      </c>
      <c r="M85" s="578">
        <f t="shared" ref="M85" si="32">+L85/20</f>
        <v>5.164047846866417</v>
      </c>
      <c r="N85" s="578">
        <f t="shared" si="18"/>
        <v>877.88813396729097</v>
      </c>
      <c r="O85" s="578">
        <f t="shared" si="19"/>
        <v>242710.24880272159</v>
      </c>
      <c r="P85" s="578">
        <f t="shared" si="24"/>
        <v>5.164047846866417</v>
      </c>
      <c r="Q85" s="578">
        <f t="shared" si="25"/>
        <v>131.68322009509365</v>
      </c>
      <c r="R85" s="658">
        <f t="shared" si="26"/>
        <v>131.68322009509365</v>
      </c>
    </row>
    <row r="86" spans="1:18" ht="15.75" x14ac:dyDescent="0.25">
      <c r="A86" s="129">
        <f t="shared" si="27"/>
        <v>100029</v>
      </c>
      <c r="B86" s="95" t="s">
        <v>89</v>
      </c>
      <c r="C86" s="245">
        <v>3000</v>
      </c>
      <c r="D86" s="577">
        <v>6.3128234652961154E-3</v>
      </c>
      <c r="E86" s="633">
        <v>6</v>
      </c>
      <c r="F86" s="24" t="s">
        <v>223</v>
      </c>
      <c r="G86" s="605">
        <v>24</v>
      </c>
      <c r="H86" s="605">
        <v>25.5</v>
      </c>
      <c r="I86" s="612">
        <v>0.21</v>
      </c>
      <c r="J86" s="578">
        <f t="shared" si="20"/>
        <v>64722.7330140591</v>
      </c>
      <c r="K86" s="578">
        <f t="shared" si="21"/>
        <v>21.5742443380197</v>
      </c>
      <c r="L86" s="578">
        <f t="shared" si="22"/>
        <v>64.722733014059102</v>
      </c>
      <c r="M86" s="578">
        <f t="shared" si="31"/>
        <v>16.180683253514776</v>
      </c>
      <c r="N86" s="578">
        <f t="shared" si="18"/>
        <v>550.14323061950233</v>
      </c>
      <c r="O86" s="578">
        <f t="shared" si="19"/>
        <v>194168.19904217729</v>
      </c>
      <c r="P86" s="578">
        <f t="shared" si="24"/>
        <v>16.180683253514776</v>
      </c>
      <c r="Q86" s="578">
        <f t="shared" si="25"/>
        <v>412.60742296462678</v>
      </c>
      <c r="R86" s="658">
        <f t="shared" si="26"/>
        <v>412.60742296462678</v>
      </c>
    </row>
    <row r="87" spans="1:18" ht="15.75" x14ac:dyDescent="0.25">
      <c r="A87" s="129">
        <f t="shared" si="27"/>
        <v>100030</v>
      </c>
      <c r="B87" s="95" t="s">
        <v>91</v>
      </c>
      <c r="C87" s="245">
        <v>2300</v>
      </c>
      <c r="D87" s="577">
        <v>4.7346175989720863E-3</v>
      </c>
      <c r="E87" s="633">
        <v>3</v>
      </c>
      <c r="F87" s="24" t="s">
        <v>224</v>
      </c>
      <c r="G87" s="605">
        <v>24</v>
      </c>
      <c r="H87" s="605">
        <v>25.5</v>
      </c>
      <c r="I87" s="612">
        <v>0.21</v>
      </c>
      <c r="J87" s="578">
        <f t="shared" si="20"/>
        <v>48542.049760544323</v>
      </c>
      <c r="K87" s="578">
        <f t="shared" si="21"/>
        <v>21.10523902632362</v>
      </c>
      <c r="L87" s="578">
        <f t="shared" si="22"/>
        <v>63.315717078970863</v>
      </c>
      <c r="M87" s="578">
        <f>+L87/8</f>
        <v>7.9144646348713579</v>
      </c>
      <c r="N87" s="578">
        <f t="shared" si="18"/>
        <v>538.18359517125225</v>
      </c>
      <c r="O87" s="578">
        <f t="shared" si="19"/>
        <v>145626.149281633</v>
      </c>
      <c r="P87" s="578">
        <f t="shared" si="24"/>
        <v>7.9144646348713579</v>
      </c>
      <c r="Q87" s="578">
        <f t="shared" si="25"/>
        <v>201.81884818921964</v>
      </c>
      <c r="R87" s="658">
        <f t="shared" si="26"/>
        <v>201.81884818921964</v>
      </c>
    </row>
    <row r="88" spans="1:18" ht="15.75" x14ac:dyDescent="0.25">
      <c r="A88" s="129">
        <f t="shared" si="27"/>
        <v>100031</v>
      </c>
      <c r="B88" s="95" t="s">
        <v>93</v>
      </c>
      <c r="C88" s="245">
        <v>3800</v>
      </c>
      <c r="D88" s="577">
        <v>6.3128234652961154E-3</v>
      </c>
      <c r="E88" s="633">
        <v>3.5999999999999996</v>
      </c>
      <c r="F88" s="34" t="s">
        <v>233</v>
      </c>
      <c r="G88" s="605">
        <v>25.199999999999996</v>
      </c>
      <c r="H88" s="605">
        <v>26.699999999999996</v>
      </c>
      <c r="I88" s="612">
        <v>0.21</v>
      </c>
      <c r="J88" s="578">
        <f t="shared" si="20"/>
        <v>64722.7330140591</v>
      </c>
      <c r="K88" s="578">
        <f t="shared" si="21"/>
        <v>17.0322981615945</v>
      </c>
      <c r="L88" s="578">
        <f t="shared" si="22"/>
        <v>51.096894484783505</v>
      </c>
      <c r="M88" s="578">
        <f>+L87/7</f>
        <v>9.0451024398529807</v>
      </c>
      <c r="N88" s="578">
        <f t="shared" si="18"/>
        <v>454.76236091457309</v>
      </c>
      <c r="O88" s="578">
        <f t="shared" si="19"/>
        <v>194168.19904217732</v>
      </c>
      <c r="P88" s="578">
        <f t="shared" si="24"/>
        <v>9.0451024398529807</v>
      </c>
      <c r="Q88" s="578">
        <f t="shared" si="25"/>
        <v>241.50423514407456</v>
      </c>
      <c r="R88" s="658">
        <f t="shared" si="26"/>
        <v>241.50423514407456</v>
      </c>
    </row>
    <row r="89" spans="1:18" ht="15.75" x14ac:dyDescent="0.25">
      <c r="A89" s="129">
        <f t="shared" si="27"/>
        <v>100032</v>
      </c>
      <c r="B89" s="95" t="s">
        <v>95</v>
      </c>
      <c r="C89" s="245">
        <v>4000</v>
      </c>
      <c r="D89" s="577">
        <v>6.3128234652961154E-3</v>
      </c>
      <c r="E89" s="633">
        <v>10</v>
      </c>
      <c r="F89" s="34" t="s">
        <v>234</v>
      </c>
      <c r="G89" s="605">
        <v>20</v>
      </c>
      <c r="H89" s="605">
        <v>21.5</v>
      </c>
      <c r="I89" s="612">
        <v>0.21</v>
      </c>
      <c r="J89" s="578">
        <f t="shared" si="20"/>
        <v>64722.7330140591</v>
      </c>
      <c r="K89" s="578">
        <f t="shared" si="21"/>
        <v>16.180683253514776</v>
      </c>
      <c r="L89" s="578">
        <f t="shared" si="22"/>
        <v>48.54204976054433</v>
      </c>
      <c r="M89" s="578">
        <f>+L88/2</f>
        <v>25.548447242391752</v>
      </c>
      <c r="N89" s="578">
        <f t="shared" si="18"/>
        <v>347.88468995056769</v>
      </c>
      <c r="O89" s="578">
        <f t="shared" si="19"/>
        <v>194168.19904217732</v>
      </c>
      <c r="P89" s="578">
        <f t="shared" si="24"/>
        <v>25.548447242391752</v>
      </c>
      <c r="Q89" s="578">
        <f t="shared" si="25"/>
        <v>549.29161571142265</v>
      </c>
      <c r="R89" s="658">
        <f t="shared" si="26"/>
        <v>549.29161571142265</v>
      </c>
    </row>
    <row r="90" spans="1:18" ht="15.75" x14ac:dyDescent="0.25">
      <c r="A90" s="129">
        <f>+A89+1</f>
        <v>100033</v>
      </c>
      <c r="B90" s="96" t="s">
        <v>22</v>
      </c>
      <c r="C90" s="245">
        <v>1910</v>
      </c>
      <c r="D90" s="577">
        <v>9.0314908671449881E-2</v>
      </c>
      <c r="E90" s="633">
        <v>6.9000000000000006E-2</v>
      </c>
      <c r="F90" s="34" t="s">
        <v>216</v>
      </c>
      <c r="G90" s="605">
        <v>1.3800000000000001</v>
      </c>
      <c r="H90" s="605">
        <v>2.13</v>
      </c>
      <c r="I90" s="612">
        <v>1.2000000000000002E-2</v>
      </c>
      <c r="J90" s="578">
        <f t="shared" si="20"/>
        <v>925960.90374866675</v>
      </c>
      <c r="K90" s="578">
        <f t="shared" si="21"/>
        <v>484.79628468516586</v>
      </c>
      <c r="L90" s="578">
        <f t="shared" si="22"/>
        <v>1454.3888540554976</v>
      </c>
      <c r="M90" s="578">
        <f t="shared" ref="M90:M93" si="33">+L90/20</f>
        <v>72.719442702774884</v>
      </c>
      <c r="N90" s="578">
        <f t="shared" si="18"/>
        <v>1032.6160863794032</v>
      </c>
      <c r="O90" s="578">
        <f t="shared" si="19"/>
        <v>2777882.7112460006</v>
      </c>
      <c r="P90" s="578">
        <f t="shared" si="24"/>
        <v>72.719442702774884</v>
      </c>
      <c r="Q90" s="578">
        <f t="shared" si="25"/>
        <v>154.8924129569105</v>
      </c>
      <c r="R90" s="658">
        <f t="shared" si="26"/>
        <v>154.8924129569105</v>
      </c>
    </row>
    <row r="91" spans="1:18" ht="15.75" x14ac:dyDescent="0.25">
      <c r="A91" s="129">
        <f t="shared" si="27"/>
        <v>100034</v>
      </c>
      <c r="B91" s="97" t="s">
        <v>23</v>
      </c>
      <c r="C91" s="245">
        <v>2170</v>
      </c>
      <c r="D91" s="577">
        <v>8.426193680204401E-2</v>
      </c>
      <c r="E91" s="633">
        <v>7.1999999999999995E-2</v>
      </c>
      <c r="F91" s="34" t="s">
        <v>216</v>
      </c>
      <c r="G91" s="605">
        <v>1.44</v>
      </c>
      <c r="H91" s="605">
        <v>2.19</v>
      </c>
      <c r="I91" s="612">
        <v>1.2000000000000002E-2</v>
      </c>
      <c r="J91" s="578">
        <f t="shared" si="20"/>
        <v>863902.32023229881</v>
      </c>
      <c r="K91" s="578">
        <f t="shared" si="21"/>
        <v>398.11166830981512</v>
      </c>
      <c r="L91" s="578">
        <f t="shared" si="22"/>
        <v>1194.3350049294454</v>
      </c>
      <c r="M91" s="578">
        <f t="shared" si="33"/>
        <v>59.716750246472273</v>
      </c>
      <c r="N91" s="578">
        <f t="shared" si="18"/>
        <v>871.86455359849504</v>
      </c>
      <c r="O91" s="578">
        <f t="shared" si="19"/>
        <v>2591706.9606968965</v>
      </c>
      <c r="P91" s="578">
        <f t="shared" si="24"/>
        <v>59.716750246472273</v>
      </c>
      <c r="Q91" s="578">
        <f t="shared" si="25"/>
        <v>130.77968303977428</v>
      </c>
      <c r="R91" s="658">
        <f t="shared" si="26"/>
        <v>130.77968303977428</v>
      </c>
    </row>
    <row r="92" spans="1:18" ht="15.75" x14ac:dyDescent="0.25">
      <c r="A92" s="129">
        <f t="shared" si="27"/>
        <v>100035</v>
      </c>
      <c r="B92" s="97" t="s">
        <v>24</v>
      </c>
      <c r="C92" s="245">
        <v>1670</v>
      </c>
      <c r="D92" s="577">
        <v>6.7433738076879732E-2</v>
      </c>
      <c r="E92" s="633">
        <v>4.8000000000000001E-2</v>
      </c>
      <c r="F92" s="34" t="s">
        <v>227</v>
      </c>
      <c r="G92" s="605">
        <v>0.86399999999999999</v>
      </c>
      <c r="H92" s="605">
        <v>1.8639999999999999</v>
      </c>
      <c r="I92" s="612">
        <v>0.03</v>
      </c>
      <c r="J92" s="578">
        <f t="shared" si="20"/>
        <v>691369.85212450463</v>
      </c>
      <c r="K92" s="578">
        <f t="shared" si="21"/>
        <v>413.99392342784711</v>
      </c>
      <c r="L92" s="578">
        <f t="shared" si="22"/>
        <v>1241.9817702835412</v>
      </c>
      <c r="M92" s="578">
        <f>+L92/18</f>
        <v>68.998987237974518</v>
      </c>
      <c r="N92" s="578">
        <f t="shared" si="18"/>
        <v>771.6846732695069</v>
      </c>
      <c r="O92" s="578">
        <f t="shared" si="19"/>
        <v>2074109.5563735138</v>
      </c>
      <c r="P92" s="578">
        <f t="shared" si="24"/>
        <v>68.998987237974518</v>
      </c>
      <c r="Q92" s="578">
        <f t="shared" si="25"/>
        <v>128.61411221158448</v>
      </c>
      <c r="R92" s="658">
        <f t="shared" si="26"/>
        <v>128.61411221158448</v>
      </c>
    </row>
    <row r="93" spans="1:18" ht="15.75" x14ac:dyDescent="0.25">
      <c r="A93" s="129">
        <f t="shared" si="27"/>
        <v>100036</v>
      </c>
      <c r="B93" s="97" t="s">
        <v>25</v>
      </c>
      <c r="C93" s="245">
        <v>1020</v>
      </c>
      <c r="D93" s="577">
        <v>3.3307666560733154E-2</v>
      </c>
      <c r="E93" s="633">
        <v>6.5000000000000002E-2</v>
      </c>
      <c r="F93" s="34" t="s">
        <v>216</v>
      </c>
      <c r="G93" s="605">
        <v>1.3</v>
      </c>
      <c r="H93" s="605">
        <v>2.0499999999999998</v>
      </c>
      <c r="I93" s="612">
        <v>1.2000000000000002E-2</v>
      </c>
      <c r="J93" s="578">
        <f t="shared" si="20"/>
        <v>341489.54457267019</v>
      </c>
      <c r="K93" s="578">
        <f t="shared" si="21"/>
        <v>334.79367114967664</v>
      </c>
      <c r="L93" s="578">
        <f t="shared" si="22"/>
        <v>1004.38101344903</v>
      </c>
      <c r="M93" s="578">
        <f t="shared" si="33"/>
        <v>50.219050672451502</v>
      </c>
      <c r="N93" s="578">
        <f t="shared" si="18"/>
        <v>686.32702585683705</v>
      </c>
      <c r="O93" s="578">
        <f t="shared" si="19"/>
        <v>1024468.6337180106</v>
      </c>
      <c r="P93" s="578">
        <f t="shared" si="24"/>
        <v>50.219050672451502</v>
      </c>
      <c r="Q93" s="578">
        <f t="shared" si="25"/>
        <v>102.94905387852558</v>
      </c>
      <c r="R93" s="658">
        <f t="shared" si="26"/>
        <v>102.94905387852558</v>
      </c>
    </row>
    <row r="94" spans="1:18" ht="15.75" x14ac:dyDescent="0.25">
      <c r="A94" s="129">
        <f t="shared" si="27"/>
        <v>100037</v>
      </c>
      <c r="B94" s="97" t="s">
        <v>26</v>
      </c>
      <c r="C94" s="245">
        <v>1430</v>
      </c>
      <c r="D94" s="577">
        <v>3.6844741548338569E-2</v>
      </c>
      <c r="E94" s="633">
        <v>8.5999999999999993E-2</v>
      </c>
      <c r="F94" s="34" t="s">
        <v>214</v>
      </c>
      <c r="G94" s="605">
        <v>1.032</v>
      </c>
      <c r="H94" s="605">
        <v>1.782</v>
      </c>
      <c r="I94" s="612">
        <v>1.2000000000000002E-2</v>
      </c>
      <c r="J94" s="578">
        <f t="shared" si="20"/>
        <v>377753.6918804475</v>
      </c>
      <c r="K94" s="578">
        <f t="shared" si="21"/>
        <v>264.16342089541786</v>
      </c>
      <c r="L94" s="578">
        <f t="shared" si="22"/>
        <v>792.49026268625357</v>
      </c>
      <c r="M94" s="578">
        <f>+L94/12</f>
        <v>66.040855223854464</v>
      </c>
      <c r="N94" s="578">
        <f t="shared" si="18"/>
        <v>470.73921603563463</v>
      </c>
      <c r="O94" s="578">
        <f t="shared" si="19"/>
        <v>1133261.0756413427</v>
      </c>
      <c r="P94" s="578">
        <f t="shared" si="24"/>
        <v>66.040855223854464</v>
      </c>
      <c r="Q94" s="578">
        <f t="shared" si="25"/>
        <v>117.68480400890866</v>
      </c>
      <c r="R94" s="658">
        <f t="shared" si="26"/>
        <v>117.68480400890866</v>
      </c>
    </row>
    <row r="95" spans="1:18" ht="15.75" x14ac:dyDescent="0.25">
      <c r="A95" s="129">
        <f t="shared" si="27"/>
        <v>100038</v>
      </c>
      <c r="B95" s="97" t="s">
        <v>27</v>
      </c>
      <c r="C95" s="245">
        <v>13260</v>
      </c>
      <c r="D95" s="577">
        <v>3.0684977748644777E-2</v>
      </c>
      <c r="E95" s="633">
        <v>0.53500000000000003</v>
      </c>
      <c r="F95" s="34" t="s">
        <v>213</v>
      </c>
      <c r="G95" s="605">
        <v>12.84</v>
      </c>
      <c r="H95" s="605">
        <v>14.34</v>
      </c>
      <c r="I95" s="612">
        <v>0.21</v>
      </c>
      <c r="J95" s="578">
        <f t="shared" si="20"/>
        <v>314600.21546392509</v>
      </c>
      <c r="K95" s="578">
        <f t="shared" si="21"/>
        <v>23.725506445243219</v>
      </c>
      <c r="L95" s="578">
        <f t="shared" si="22"/>
        <v>71.176519335729665</v>
      </c>
      <c r="M95" s="578">
        <f>+L95/24</f>
        <v>2.9656883056554029</v>
      </c>
      <c r="N95" s="578">
        <f t="shared" si="18"/>
        <v>340.22376242478776</v>
      </c>
      <c r="O95" s="578">
        <f t="shared" si="19"/>
        <v>943800.64639177534</v>
      </c>
      <c r="P95" s="578">
        <f t="shared" si="24"/>
        <v>2.9656883056554029</v>
      </c>
      <c r="Q95" s="578">
        <f t="shared" si="25"/>
        <v>42.527970303098478</v>
      </c>
      <c r="R95" s="658">
        <f t="shared" si="26"/>
        <v>42.527970303098478</v>
      </c>
    </row>
    <row r="96" spans="1:18" ht="15.75" x14ac:dyDescent="0.25">
      <c r="A96" s="129">
        <f t="shared" si="27"/>
        <v>100039</v>
      </c>
      <c r="B96" s="97" t="s">
        <v>28</v>
      </c>
      <c r="C96" s="245">
        <v>2840</v>
      </c>
      <c r="D96" s="577">
        <v>1.7045228335214935E-2</v>
      </c>
      <c r="E96" s="633">
        <v>9.2999999999999999E-2</v>
      </c>
      <c r="F96" s="34" t="s">
        <v>228</v>
      </c>
      <c r="G96" s="605">
        <v>4.4640000000000004</v>
      </c>
      <c r="H96" s="605">
        <v>5.9640000000000004</v>
      </c>
      <c r="I96" s="612">
        <v>0.21</v>
      </c>
      <c r="J96" s="578">
        <f t="shared" si="20"/>
        <v>174757.58173320672</v>
      </c>
      <c r="K96" s="578">
        <f t="shared" si="21"/>
        <v>61.534359765213637</v>
      </c>
      <c r="L96" s="578">
        <f t="shared" si="22"/>
        <v>184.6030792956409</v>
      </c>
      <c r="M96" s="578">
        <f>+L96/48</f>
        <v>3.8458974853258519</v>
      </c>
      <c r="N96" s="578">
        <f t="shared" si="18"/>
        <v>366.99092163973415</v>
      </c>
      <c r="O96" s="578">
        <f t="shared" si="19"/>
        <v>524272.74519962014</v>
      </c>
      <c r="P96" s="578">
        <f t="shared" si="24"/>
        <v>3.8458974853258519</v>
      </c>
      <c r="Q96" s="578">
        <f t="shared" si="25"/>
        <v>22.936932602483381</v>
      </c>
      <c r="R96" s="658">
        <f t="shared" si="26"/>
        <v>22.936932602483381</v>
      </c>
    </row>
    <row r="97" spans="1:31" ht="15.75" x14ac:dyDescent="0.25">
      <c r="A97" s="129">
        <f t="shared" si="27"/>
        <v>100040</v>
      </c>
      <c r="B97" s="97" t="s">
        <v>29</v>
      </c>
      <c r="C97" s="245">
        <v>3800</v>
      </c>
      <c r="D97" s="577">
        <v>1.5376328238439485E-2</v>
      </c>
      <c r="E97" s="633">
        <v>0.05</v>
      </c>
      <c r="F97" s="34" t="s">
        <v>222</v>
      </c>
      <c r="G97" s="605">
        <v>5</v>
      </c>
      <c r="H97" s="605">
        <v>6.5</v>
      </c>
      <c r="I97" s="612">
        <v>0.21</v>
      </c>
      <c r="J97" s="578">
        <f t="shared" si="20"/>
        <v>157647.04854872331</v>
      </c>
      <c r="K97" s="578">
        <f t="shared" si="21"/>
        <v>41.486065407558769</v>
      </c>
      <c r="L97" s="578">
        <f t="shared" si="22"/>
        <v>124.45819622267631</v>
      </c>
      <c r="M97" s="578">
        <f>+L97/100</f>
        <v>1.2445819622267631</v>
      </c>
      <c r="N97" s="578">
        <f t="shared" si="18"/>
        <v>269.65942514913201</v>
      </c>
      <c r="O97" s="578">
        <f t="shared" si="19"/>
        <v>472941.14564616996</v>
      </c>
      <c r="P97" s="578">
        <f t="shared" si="24"/>
        <v>1.2445819622267631</v>
      </c>
      <c r="Q97" s="578">
        <f t="shared" si="25"/>
        <v>8.0897827544739602</v>
      </c>
      <c r="R97" s="658">
        <f t="shared" si="26"/>
        <v>8.0897827544739602</v>
      </c>
    </row>
    <row r="98" spans="1:31" x14ac:dyDescent="0.25">
      <c r="A98" s="129">
        <f>+A97+1</f>
        <v>100041</v>
      </c>
      <c r="B98" s="97" t="s">
        <v>106</v>
      </c>
      <c r="C98" s="247">
        <v>3440</v>
      </c>
      <c r="D98" s="577">
        <v>1.739718356852692E-2</v>
      </c>
      <c r="E98" s="635">
        <v>0.4</v>
      </c>
      <c r="F98" s="38" t="s">
        <v>213</v>
      </c>
      <c r="G98" s="606">
        <v>9.6000000000000014</v>
      </c>
      <c r="H98" s="606">
        <v>11.100000000000001</v>
      </c>
      <c r="I98" s="613">
        <v>0.21</v>
      </c>
      <c r="J98" s="578">
        <f t="shared" si="20"/>
        <v>178366.03122079017</v>
      </c>
      <c r="K98" s="578">
        <f t="shared" si="21"/>
        <v>51.850590471159933</v>
      </c>
      <c r="L98" s="578">
        <f t="shared" si="22"/>
        <v>155.5517714134798</v>
      </c>
      <c r="M98" s="578">
        <f>+L98/44</f>
        <v>3.535267532124541</v>
      </c>
      <c r="N98" s="578">
        <f t="shared" si="18"/>
        <v>575.54155422987537</v>
      </c>
      <c r="O98" s="578">
        <f t="shared" si="19"/>
        <v>535098.09366237046</v>
      </c>
      <c r="P98" s="578">
        <f t="shared" si="24"/>
        <v>3.535267532124541</v>
      </c>
      <c r="Q98" s="578">
        <f t="shared" si="25"/>
        <v>39.241469606582413</v>
      </c>
      <c r="R98" s="658">
        <f t="shared" si="26"/>
        <v>39.241469606582413</v>
      </c>
    </row>
    <row r="99" spans="1:31" x14ac:dyDescent="0.25">
      <c r="A99" s="129">
        <f t="shared" si="27"/>
        <v>100042</v>
      </c>
      <c r="B99" s="97" t="s">
        <v>106</v>
      </c>
      <c r="C99" s="247">
        <v>2060</v>
      </c>
      <c r="D99" s="577">
        <v>2.0415136022876802E-2</v>
      </c>
      <c r="E99" s="635">
        <v>0.2</v>
      </c>
      <c r="F99" s="38" t="s">
        <v>228</v>
      </c>
      <c r="G99" s="606">
        <v>9.6000000000000014</v>
      </c>
      <c r="H99" s="606">
        <v>11.100000000000001</v>
      </c>
      <c r="I99" s="613">
        <v>0.21</v>
      </c>
      <c r="J99" s="578">
        <f t="shared" si="20"/>
        <v>209307.83278166267</v>
      </c>
      <c r="K99" s="578">
        <f t="shared" si="21"/>
        <v>101.60574406876829</v>
      </c>
      <c r="L99" s="578">
        <f t="shared" si="22"/>
        <v>304.81723220630488</v>
      </c>
      <c r="M99" s="578">
        <f>+L99/48</f>
        <v>6.350359004298018</v>
      </c>
      <c r="N99" s="578">
        <f t="shared" si="18"/>
        <v>1127.8237591633281</v>
      </c>
      <c r="O99" s="578">
        <f t="shared" si="19"/>
        <v>627923.4983449881</v>
      </c>
      <c r="P99" s="578">
        <f t="shared" si="24"/>
        <v>6.350359004298018</v>
      </c>
      <c r="Q99" s="578">
        <f t="shared" si="25"/>
        <v>70.488984947708005</v>
      </c>
      <c r="R99" s="658">
        <f t="shared" si="26"/>
        <v>70.488984947708005</v>
      </c>
    </row>
    <row r="100" spans="1:31" x14ac:dyDescent="0.25">
      <c r="A100" s="129">
        <f t="shared" si="27"/>
        <v>100043</v>
      </c>
      <c r="B100" s="97" t="s">
        <v>112</v>
      </c>
      <c r="C100" s="247">
        <v>2810</v>
      </c>
      <c r="D100" s="577">
        <v>1.0509866680215489E-2</v>
      </c>
      <c r="E100" s="635">
        <v>0.2</v>
      </c>
      <c r="F100" s="38" t="s">
        <v>228</v>
      </c>
      <c r="G100" s="606">
        <v>9.6000000000000014</v>
      </c>
      <c r="H100" s="606">
        <v>11.100000000000001</v>
      </c>
      <c r="I100" s="613">
        <v>0.21</v>
      </c>
      <c r="J100" s="578">
        <f t="shared" si="20"/>
        <v>107753.25793543877</v>
      </c>
      <c r="K100" s="578">
        <f t="shared" si="21"/>
        <v>38.346355137166825</v>
      </c>
      <c r="L100" s="578">
        <f t="shared" si="22"/>
        <v>115.03906541150047</v>
      </c>
      <c r="M100" s="578">
        <f>+L100/48</f>
        <v>2.3966471960729265</v>
      </c>
      <c r="N100" s="578">
        <f t="shared" si="18"/>
        <v>425.64454202255183</v>
      </c>
      <c r="O100" s="578">
        <f t="shared" si="19"/>
        <v>323259.77380631631</v>
      </c>
      <c r="P100" s="578">
        <f t="shared" si="24"/>
        <v>2.3966471960729265</v>
      </c>
      <c r="Q100" s="578">
        <f t="shared" si="25"/>
        <v>26.602783876409489</v>
      </c>
      <c r="R100" s="658">
        <f t="shared" si="26"/>
        <v>26.602783876409489</v>
      </c>
    </row>
    <row r="101" spans="1:31" x14ac:dyDescent="0.25">
      <c r="A101" s="129">
        <f t="shared" si="27"/>
        <v>100044</v>
      </c>
      <c r="B101" s="97" t="s">
        <v>113</v>
      </c>
      <c r="C101" s="247">
        <v>4140</v>
      </c>
      <c r="D101" s="577">
        <v>8.5867846919207482E-3</v>
      </c>
      <c r="E101" s="635">
        <v>0.38</v>
      </c>
      <c r="F101" s="38" t="s">
        <v>213</v>
      </c>
      <c r="G101" s="606">
        <v>9.120000000000001</v>
      </c>
      <c r="H101" s="606">
        <v>10.620000000000001</v>
      </c>
      <c r="I101" s="613">
        <v>0.21</v>
      </c>
      <c r="J101" s="578">
        <f t="shared" si="20"/>
        <v>88036.70435576282</v>
      </c>
      <c r="K101" s="578">
        <f t="shared" si="21"/>
        <v>21.264904433759135</v>
      </c>
      <c r="L101" s="578">
        <f t="shared" si="22"/>
        <v>63.794713301277405</v>
      </c>
      <c r="M101" s="578">
        <f>+L101/24</f>
        <v>2.6581130542198919</v>
      </c>
      <c r="N101" s="578">
        <f t="shared" si="18"/>
        <v>225.83328508652204</v>
      </c>
      <c r="O101" s="578">
        <f t="shared" si="19"/>
        <v>264110.11306728848</v>
      </c>
      <c r="P101" s="578">
        <f t="shared" si="24"/>
        <v>2.6581130542198919</v>
      </c>
      <c r="Q101" s="578">
        <f t="shared" si="25"/>
        <v>28.229160635815255</v>
      </c>
      <c r="R101" s="658">
        <f t="shared" si="26"/>
        <v>28.229160635815255</v>
      </c>
    </row>
    <row r="102" spans="1:31" x14ac:dyDescent="0.25">
      <c r="A102" s="129">
        <f t="shared" si="27"/>
        <v>100045</v>
      </c>
      <c r="B102" s="97" t="s">
        <v>116</v>
      </c>
      <c r="C102" s="247">
        <v>2150</v>
      </c>
      <c r="D102" s="577">
        <v>9.3749231666469882E-3</v>
      </c>
      <c r="E102" s="635">
        <v>0.2</v>
      </c>
      <c r="F102" s="38" t="s">
        <v>228</v>
      </c>
      <c r="G102" s="606">
        <v>9.6000000000000014</v>
      </c>
      <c r="H102" s="606">
        <v>11.100000000000001</v>
      </c>
      <c r="I102" s="613">
        <v>0.21</v>
      </c>
      <c r="J102" s="578">
        <f t="shared" si="20"/>
        <v>96117.157794424202</v>
      </c>
      <c r="K102" s="578">
        <f t="shared" si="21"/>
        <v>44.705654788104283</v>
      </c>
      <c r="L102" s="578">
        <f t="shared" si="22"/>
        <v>134.11696436431285</v>
      </c>
      <c r="M102" s="578">
        <f t="shared" ref="M102:M103" si="34">+L102/48</f>
        <v>2.7941034242565177</v>
      </c>
      <c r="N102" s="578">
        <f t="shared" si="18"/>
        <v>496.23276814795759</v>
      </c>
      <c r="O102" s="578">
        <f t="shared" si="19"/>
        <v>288351.47338327265</v>
      </c>
      <c r="P102" s="578">
        <f t="shared" si="24"/>
        <v>2.7941034242565177</v>
      </c>
      <c r="Q102" s="578">
        <f t="shared" si="25"/>
        <v>31.014548009247349</v>
      </c>
      <c r="R102" s="658">
        <f t="shared" si="26"/>
        <v>31.014548009247349</v>
      </c>
    </row>
    <row r="103" spans="1:31" x14ac:dyDescent="0.25">
      <c r="A103" s="129">
        <f t="shared" si="27"/>
        <v>100046</v>
      </c>
      <c r="B103" s="97" t="s">
        <v>118</v>
      </c>
      <c r="C103" s="247">
        <v>2150</v>
      </c>
      <c r="D103" s="577">
        <v>7.5557000599249403E-3</v>
      </c>
      <c r="E103" s="635">
        <v>0.2</v>
      </c>
      <c r="F103" s="38" t="s">
        <v>228</v>
      </c>
      <c r="G103" s="606">
        <v>9.6000000000000014</v>
      </c>
      <c r="H103" s="606">
        <v>11.100000000000001</v>
      </c>
      <c r="I103" s="613">
        <v>0.21</v>
      </c>
      <c r="J103" s="578">
        <f t="shared" si="20"/>
        <v>77465.425795792238</v>
      </c>
      <c r="K103" s="578">
        <f t="shared" si="21"/>
        <v>36.030430602694061</v>
      </c>
      <c r="L103" s="578">
        <f t="shared" si="22"/>
        <v>108.09129180808219</v>
      </c>
      <c r="M103" s="578">
        <f t="shared" si="34"/>
        <v>2.2519019126683788</v>
      </c>
      <c r="N103" s="578">
        <f t="shared" si="18"/>
        <v>399.93777968990412</v>
      </c>
      <c r="O103" s="578">
        <f t="shared" si="19"/>
        <v>232396.2773873767</v>
      </c>
      <c r="P103" s="578">
        <f t="shared" si="24"/>
        <v>2.2519019126683788</v>
      </c>
      <c r="Q103" s="578">
        <f t="shared" si="25"/>
        <v>24.996111230619007</v>
      </c>
      <c r="R103" s="658">
        <f t="shared" si="26"/>
        <v>24.996111230619007</v>
      </c>
    </row>
    <row r="104" spans="1:31" x14ac:dyDescent="0.25">
      <c r="A104" s="129">
        <f t="shared" si="27"/>
        <v>100047</v>
      </c>
      <c r="B104" s="97" t="s">
        <v>119</v>
      </c>
      <c r="C104" s="247">
        <v>4080</v>
      </c>
      <c r="D104" s="577">
        <v>5.4631034090536846E-3</v>
      </c>
      <c r="E104" s="635">
        <v>0.32500000000000001</v>
      </c>
      <c r="F104" s="40" t="s">
        <v>214</v>
      </c>
      <c r="G104" s="606">
        <v>3.9000000000000004</v>
      </c>
      <c r="H104" s="606">
        <v>5.4</v>
      </c>
      <c r="I104" s="613">
        <v>0.21</v>
      </c>
      <c r="J104" s="578">
        <f t="shared" si="20"/>
        <v>56010.909431599641</v>
      </c>
      <c r="K104" s="578">
        <f t="shared" si="21"/>
        <v>13.728164076372462</v>
      </c>
      <c r="L104" s="578">
        <f t="shared" si="22"/>
        <v>41.184492229117382</v>
      </c>
      <c r="M104" s="578">
        <f>+L104/12</f>
        <v>3.432041019093115</v>
      </c>
      <c r="N104" s="578">
        <f t="shared" si="18"/>
        <v>74.132086012411293</v>
      </c>
      <c r="O104" s="578">
        <f t="shared" si="19"/>
        <v>168032.72829479893</v>
      </c>
      <c r="P104" s="578">
        <f t="shared" si="24"/>
        <v>3.432041019093115</v>
      </c>
      <c r="Q104" s="578">
        <f t="shared" si="25"/>
        <v>18.533021503102823</v>
      </c>
      <c r="R104" s="658">
        <f t="shared" si="26"/>
        <v>18.533021503102823</v>
      </c>
    </row>
    <row r="105" spans="1:31" ht="15.75" thickBot="1" x14ac:dyDescent="0.3">
      <c r="A105" s="130">
        <f t="shared" si="27"/>
        <v>100048</v>
      </c>
      <c r="B105" s="98" t="s">
        <v>122</v>
      </c>
      <c r="C105" s="249">
        <v>5560</v>
      </c>
      <c r="D105" s="577">
        <v>5.9928601495696839E-3</v>
      </c>
      <c r="E105" s="635">
        <v>0.45</v>
      </c>
      <c r="F105" s="40" t="s">
        <v>214</v>
      </c>
      <c r="G105" s="606">
        <v>5.4</v>
      </c>
      <c r="H105" s="606">
        <v>6.9</v>
      </c>
      <c r="I105" s="613">
        <v>0.21</v>
      </c>
      <c r="J105" s="578">
        <f t="shared" si="20"/>
        <v>61442.283248292755</v>
      </c>
      <c r="K105" s="578">
        <f t="shared" si="21"/>
        <v>11.050770368397977</v>
      </c>
      <c r="L105" s="578">
        <f t="shared" si="22"/>
        <v>33.152311105193931</v>
      </c>
      <c r="M105" s="578">
        <f>+L105/12</f>
        <v>2.7626925920994942</v>
      </c>
      <c r="N105" s="578">
        <f t="shared" si="18"/>
        <v>76.250315541946051</v>
      </c>
      <c r="O105" s="578">
        <f t="shared" si="19"/>
        <v>184326.84974487824</v>
      </c>
      <c r="P105" s="578">
        <f t="shared" si="24"/>
        <v>2.7626925920994942</v>
      </c>
      <c r="Q105" s="578">
        <f t="shared" si="25"/>
        <v>19.062578885486513</v>
      </c>
      <c r="R105" s="658">
        <f t="shared" si="26"/>
        <v>19.062578885486513</v>
      </c>
    </row>
    <row r="106" spans="1:31" x14ac:dyDescent="0.25">
      <c r="A106" s="57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N106" s="2"/>
      <c r="O106" s="573"/>
      <c r="Q106" s="270">
        <f>SUM(Q58:Q105)</f>
        <v>5929.1187437802355</v>
      </c>
    </row>
    <row r="107" spans="1:31" ht="15.75" thickBot="1" x14ac:dyDescent="0.3">
      <c r="A107" s="574"/>
      <c r="B107" s="575"/>
      <c r="C107" s="575"/>
      <c r="D107" s="575"/>
      <c r="E107" s="575"/>
      <c r="F107" s="575"/>
      <c r="G107" s="575"/>
      <c r="H107" s="575"/>
      <c r="I107" s="575"/>
      <c r="J107" s="575"/>
      <c r="K107" s="575"/>
      <c r="L107" s="575"/>
      <c r="N107" s="575"/>
      <c r="O107" s="576">
        <f>SUM(O58:O106)</f>
        <v>30757742.571068306</v>
      </c>
    </row>
    <row r="109" spans="1:31" ht="19.5" thickBot="1" x14ac:dyDescent="0.35">
      <c r="A109" s="842" t="s">
        <v>189</v>
      </c>
      <c r="B109" s="842"/>
      <c r="C109" s="842"/>
      <c r="D109" s="842"/>
      <c r="E109" s="842"/>
      <c r="F109" s="842"/>
      <c r="G109" s="842"/>
      <c r="H109" s="842"/>
      <c r="I109" s="842"/>
      <c r="J109" s="842"/>
      <c r="K109" s="842"/>
      <c r="L109" s="842"/>
      <c r="M109" s="842"/>
      <c r="N109" s="842"/>
      <c r="O109" s="842"/>
      <c r="P109" s="842"/>
    </row>
    <row r="110" spans="1:31" ht="18.75" x14ac:dyDescent="0.3">
      <c r="A110" s="566"/>
      <c r="B110" s="844" t="s">
        <v>205</v>
      </c>
      <c r="C110" s="844"/>
      <c r="D110" s="844"/>
      <c r="E110" s="592"/>
      <c r="F110" s="592"/>
      <c r="G110" s="592"/>
      <c r="H110" s="592"/>
      <c r="I110" s="592"/>
      <c r="J110" s="567">
        <f>+'1-CLIENTE-RED-ENDEUDAMIEN'!H132</f>
        <v>10252580.85702277</v>
      </c>
      <c r="K110" s="568"/>
      <c r="L110" s="568"/>
      <c r="N110" s="568"/>
      <c r="O110" s="568"/>
      <c r="P110" s="569"/>
    </row>
    <row r="111" spans="1:31" s="557" customFormat="1" ht="69" customHeight="1" x14ac:dyDescent="0.25">
      <c r="A111" s="638" t="s">
        <v>31</v>
      </c>
      <c r="B111" s="5" t="s">
        <v>2</v>
      </c>
      <c r="C111" s="5" t="s">
        <v>191</v>
      </c>
      <c r="D111" s="5" t="s">
        <v>192</v>
      </c>
      <c r="E111" s="5" t="s">
        <v>235</v>
      </c>
      <c r="F111" s="5" t="s">
        <v>209</v>
      </c>
      <c r="G111" s="5" t="s">
        <v>237</v>
      </c>
      <c r="H111" s="5" t="s">
        <v>239</v>
      </c>
      <c r="I111" s="5" t="s">
        <v>238</v>
      </c>
      <c r="J111" s="5" t="s">
        <v>193</v>
      </c>
      <c r="K111" s="5" t="s">
        <v>195</v>
      </c>
      <c r="L111" s="5" t="s">
        <v>196</v>
      </c>
      <c r="M111" s="5" t="s">
        <v>277</v>
      </c>
      <c r="N111" s="650" t="s">
        <v>284</v>
      </c>
      <c r="O111" s="650" t="s">
        <v>240</v>
      </c>
      <c r="P111" s="650" t="s">
        <v>197</v>
      </c>
      <c r="Q111" s="650" t="s">
        <v>278</v>
      </c>
      <c r="R111" s="661" t="s">
        <v>279</v>
      </c>
      <c r="S111" s="650" t="s">
        <v>280</v>
      </c>
      <c r="AE111" s="654"/>
    </row>
    <row r="112" spans="1:31" ht="15.75" x14ac:dyDescent="0.25">
      <c r="A112" s="128">
        <v>100001</v>
      </c>
      <c r="B112" s="91" t="s">
        <v>15</v>
      </c>
      <c r="C112" s="103">
        <v>4910</v>
      </c>
      <c r="D112" s="577">
        <v>5.3518119941107528E-2</v>
      </c>
      <c r="E112" s="623">
        <v>0.48</v>
      </c>
      <c r="F112" s="24" t="s">
        <v>216</v>
      </c>
      <c r="G112" s="600">
        <v>9.6</v>
      </c>
      <c r="H112" s="600">
        <v>11.1</v>
      </c>
      <c r="I112" s="607">
        <v>0.21</v>
      </c>
      <c r="J112" s="578">
        <f>$J$110*D112</f>
        <v>548698.85201204766</v>
      </c>
      <c r="K112" s="578">
        <f>J112/C112</f>
        <v>111.75129368880808</v>
      </c>
      <c r="L112" s="578">
        <f>K112*21</f>
        <v>2346.7771674649698</v>
      </c>
      <c r="M112" s="578">
        <f>+L112/20</f>
        <v>117.33885837324848</v>
      </c>
      <c r="N112" s="578">
        <f>+M112*I112</f>
        <v>24.641160258382182</v>
      </c>
      <c r="O112" s="578">
        <f>+K112*H112</f>
        <v>1240.4393599457696</v>
      </c>
      <c r="P112" s="578">
        <f t="shared" ref="P112:P159" si="35">L112*C112</f>
        <v>11522675.892253002</v>
      </c>
      <c r="Q112" s="578">
        <f>+N112/4</f>
        <v>6.1602900645955456</v>
      </c>
      <c r="R112" s="658">
        <f>+Q112*I112</f>
        <v>1.2936609135650645</v>
      </c>
      <c r="S112" s="578">
        <f>+Q112*H112</f>
        <v>68.379219717010557</v>
      </c>
    </row>
    <row r="113" spans="1:19" ht="15.75" x14ac:dyDescent="0.25">
      <c r="A113" s="129">
        <f>+A112+1</f>
        <v>100002</v>
      </c>
      <c r="B113" s="92" t="s">
        <v>16</v>
      </c>
      <c r="C113" s="112">
        <v>4910</v>
      </c>
      <c r="D113" s="577">
        <v>3.7601368833857216E-2</v>
      </c>
      <c r="E113" s="623">
        <v>0.48</v>
      </c>
      <c r="F113" s="24" t="s">
        <v>216</v>
      </c>
      <c r="G113" s="600">
        <v>9.6</v>
      </c>
      <c r="H113" s="600">
        <v>11.1</v>
      </c>
      <c r="I113" s="607">
        <v>0.21</v>
      </c>
      <c r="J113" s="578">
        <f t="shared" ref="J113:J159" si="36">$J$110*D113</f>
        <v>385511.07430385705</v>
      </c>
      <c r="K113" s="578">
        <f t="shared" ref="K113:K159" si="37">J113/C113</f>
        <v>78.51549374823972</v>
      </c>
      <c r="L113" s="578">
        <f t="shared" ref="L113:L159" si="38">K113*21</f>
        <v>1648.8253687130341</v>
      </c>
      <c r="M113" s="578">
        <f t="shared" ref="M113:M117" si="39">+L113/20</f>
        <v>82.441268435651708</v>
      </c>
      <c r="N113" s="578">
        <f t="shared" ref="N113:N159" si="40">+M113*I113</f>
        <v>17.312666371486859</v>
      </c>
      <c r="O113" s="578">
        <f t="shared" ref="O113:O159" si="41">+K113*H113</f>
        <v>871.52198060546084</v>
      </c>
      <c r="P113" s="578">
        <f t="shared" si="35"/>
        <v>8095732.5603809971</v>
      </c>
      <c r="Q113" s="578">
        <f t="shared" ref="Q113:Q159" si="42">+N113/4</f>
        <v>4.3281665928717148</v>
      </c>
      <c r="R113" s="658">
        <f t="shared" ref="R113:R159" si="43">+Q113*I113</f>
        <v>0.90891498450306007</v>
      </c>
      <c r="S113" s="578">
        <f t="shared" ref="S113:S159" si="44">+Q113*H113</f>
        <v>48.042649180876033</v>
      </c>
    </row>
    <row r="114" spans="1:19" ht="15.75" x14ac:dyDescent="0.25">
      <c r="A114" s="129">
        <f t="shared" ref="A114:A159" si="45">+A113+1</f>
        <v>100003</v>
      </c>
      <c r="B114" s="92" t="s">
        <v>17</v>
      </c>
      <c r="C114" s="112">
        <v>6000</v>
      </c>
      <c r="D114" s="577">
        <v>1.0959822872810982E-2</v>
      </c>
      <c r="E114" s="623">
        <v>0.36</v>
      </c>
      <c r="F114" s="24" t="s">
        <v>216</v>
      </c>
      <c r="G114" s="600">
        <v>7.1999999999999993</v>
      </c>
      <c r="H114" s="600">
        <v>8.6999999999999993</v>
      </c>
      <c r="I114" s="607">
        <v>0.21</v>
      </c>
      <c r="J114" s="578">
        <f t="shared" si="36"/>
        <v>112366.47018214218</v>
      </c>
      <c r="K114" s="578">
        <f t="shared" si="37"/>
        <v>18.727745030357031</v>
      </c>
      <c r="L114" s="578">
        <f t="shared" si="38"/>
        <v>393.28264563749764</v>
      </c>
      <c r="M114" s="578">
        <f t="shared" si="39"/>
        <v>19.664132281874881</v>
      </c>
      <c r="N114" s="578">
        <f t="shared" si="40"/>
        <v>4.1294677791937247</v>
      </c>
      <c r="O114" s="578">
        <f t="shared" si="41"/>
        <v>162.93138176410616</v>
      </c>
      <c r="P114" s="578">
        <f t="shared" si="35"/>
        <v>2359695.8738249857</v>
      </c>
      <c r="Q114" s="578">
        <f t="shared" si="42"/>
        <v>1.0323669447984312</v>
      </c>
      <c r="R114" s="658">
        <f t="shared" si="43"/>
        <v>0.21679705840767052</v>
      </c>
      <c r="S114" s="578">
        <f t="shared" si="44"/>
        <v>8.9815924197463506</v>
      </c>
    </row>
    <row r="115" spans="1:19" ht="15.75" x14ac:dyDescent="0.25">
      <c r="A115" s="129">
        <f t="shared" si="45"/>
        <v>100004</v>
      </c>
      <c r="B115" s="92" t="s">
        <v>18</v>
      </c>
      <c r="C115" s="112">
        <v>5130</v>
      </c>
      <c r="D115" s="577">
        <v>2.0869862636506389E-2</v>
      </c>
      <c r="E115" s="623">
        <v>0.4</v>
      </c>
      <c r="F115" s="24" t="s">
        <v>216</v>
      </c>
      <c r="G115" s="600">
        <v>8</v>
      </c>
      <c r="H115" s="600">
        <v>9.5</v>
      </c>
      <c r="I115" s="607">
        <v>0.21</v>
      </c>
      <c r="J115" s="578">
        <f t="shared" si="36"/>
        <v>213969.95415574015</v>
      </c>
      <c r="K115" s="578">
        <f t="shared" si="37"/>
        <v>41.709542720417183</v>
      </c>
      <c r="L115" s="578">
        <f t="shared" si="38"/>
        <v>875.9003971287608</v>
      </c>
      <c r="M115" s="578">
        <f t="shared" si="39"/>
        <v>43.795019856438039</v>
      </c>
      <c r="N115" s="578">
        <f t="shared" si="40"/>
        <v>9.1969541698519883</v>
      </c>
      <c r="O115" s="578">
        <f t="shared" si="41"/>
        <v>396.24065584396322</v>
      </c>
      <c r="P115" s="578">
        <f t="shared" si="35"/>
        <v>4493369.0372705432</v>
      </c>
      <c r="Q115" s="578">
        <f t="shared" si="42"/>
        <v>2.2992385424629971</v>
      </c>
      <c r="R115" s="658">
        <f t="shared" si="43"/>
        <v>0.48284009391722937</v>
      </c>
      <c r="S115" s="578">
        <f t="shared" si="44"/>
        <v>21.842766153398472</v>
      </c>
    </row>
    <row r="116" spans="1:19" ht="15.75" x14ac:dyDescent="0.25">
      <c r="A116" s="129">
        <f t="shared" si="45"/>
        <v>100005</v>
      </c>
      <c r="B116" s="92" t="s">
        <v>19</v>
      </c>
      <c r="C116" s="112">
        <v>8550</v>
      </c>
      <c r="D116" s="577">
        <v>1.578835457061134E-2</v>
      </c>
      <c r="E116" s="623">
        <v>0.4</v>
      </c>
      <c r="F116" s="24" t="s">
        <v>216</v>
      </c>
      <c r="G116" s="600">
        <v>8</v>
      </c>
      <c r="H116" s="600">
        <v>9.5</v>
      </c>
      <c r="I116" s="607">
        <v>0.21</v>
      </c>
      <c r="J116" s="578">
        <f t="shared" si="36"/>
        <v>161871.38183453778</v>
      </c>
      <c r="K116" s="578">
        <f t="shared" si="37"/>
        <v>18.932325360764654</v>
      </c>
      <c r="L116" s="578">
        <f t="shared" si="38"/>
        <v>397.57883257605772</v>
      </c>
      <c r="M116" s="578">
        <f t="shared" si="39"/>
        <v>19.878941628802885</v>
      </c>
      <c r="N116" s="578">
        <f t="shared" si="40"/>
        <v>4.1745777420486059</v>
      </c>
      <c r="O116" s="578">
        <f t="shared" si="41"/>
        <v>179.85709092726421</v>
      </c>
      <c r="P116" s="578">
        <f t="shared" si="35"/>
        <v>3399299.0185252936</v>
      </c>
      <c r="Q116" s="578">
        <f t="shared" si="42"/>
        <v>1.0436444355121515</v>
      </c>
      <c r="R116" s="658">
        <f t="shared" si="43"/>
        <v>0.21916533145755179</v>
      </c>
      <c r="S116" s="578">
        <f t="shared" si="44"/>
        <v>9.9146221373654395</v>
      </c>
    </row>
    <row r="117" spans="1:19" ht="15.75" x14ac:dyDescent="0.25">
      <c r="A117" s="129">
        <f t="shared" si="45"/>
        <v>100006</v>
      </c>
      <c r="B117" s="92" t="s">
        <v>42</v>
      </c>
      <c r="C117" s="112">
        <v>10100</v>
      </c>
      <c r="D117" s="577">
        <v>1.7467299349658533E-2</v>
      </c>
      <c r="E117" s="623">
        <v>0.4</v>
      </c>
      <c r="F117" s="24" t="s">
        <v>216</v>
      </c>
      <c r="G117" s="600">
        <v>8</v>
      </c>
      <c r="H117" s="600">
        <v>9.5</v>
      </c>
      <c r="I117" s="607">
        <v>0.21</v>
      </c>
      <c r="J117" s="578">
        <f t="shared" si="36"/>
        <v>179084.89893619536</v>
      </c>
      <c r="K117" s="578">
        <f t="shared" si="37"/>
        <v>17.73117811249459</v>
      </c>
      <c r="L117" s="578">
        <f t="shared" si="38"/>
        <v>372.35474036238639</v>
      </c>
      <c r="M117" s="578">
        <f t="shared" si="39"/>
        <v>18.617737018119321</v>
      </c>
      <c r="N117" s="578">
        <f t="shared" si="40"/>
        <v>3.9097247738050571</v>
      </c>
      <c r="O117" s="578">
        <f t="shared" si="41"/>
        <v>168.44619206869859</v>
      </c>
      <c r="P117" s="578">
        <f t="shared" si="35"/>
        <v>3760782.8776601027</v>
      </c>
      <c r="Q117" s="578">
        <f t="shared" si="42"/>
        <v>0.97743119345126428</v>
      </c>
      <c r="R117" s="658">
        <f t="shared" si="43"/>
        <v>0.2052605506247655</v>
      </c>
      <c r="S117" s="578">
        <f t="shared" si="44"/>
        <v>9.2855963377870108</v>
      </c>
    </row>
    <row r="118" spans="1:19" ht="15.75" x14ac:dyDescent="0.25">
      <c r="A118" s="129">
        <f>+A117+1</f>
        <v>100007</v>
      </c>
      <c r="B118" s="93" t="s">
        <v>43</v>
      </c>
      <c r="C118" s="115">
        <v>2340</v>
      </c>
      <c r="D118" s="577">
        <v>2.0689609453558255E-2</v>
      </c>
      <c r="E118" s="625">
        <v>0.08</v>
      </c>
      <c r="F118" s="24" t="s">
        <v>215</v>
      </c>
      <c r="G118" s="601">
        <v>2</v>
      </c>
      <c r="H118" s="601">
        <v>3.5</v>
      </c>
      <c r="I118" s="608">
        <v>0.21</v>
      </c>
      <c r="J118" s="578">
        <f t="shared" si="36"/>
        <v>212121.89382282869</v>
      </c>
      <c r="K118" s="578">
        <f t="shared" si="37"/>
        <v>90.650381975567811</v>
      </c>
      <c r="L118" s="578">
        <f t="shared" si="38"/>
        <v>1903.6580214869241</v>
      </c>
      <c r="M118" s="578">
        <f>+L118/25</f>
        <v>76.146320859476958</v>
      </c>
      <c r="N118" s="578">
        <f t="shared" si="40"/>
        <v>15.99072738049016</v>
      </c>
      <c r="O118" s="578">
        <f t="shared" si="41"/>
        <v>317.27633691448733</v>
      </c>
      <c r="P118" s="578">
        <f t="shared" si="35"/>
        <v>4454559.7702794028</v>
      </c>
      <c r="Q118" s="578">
        <f t="shared" si="42"/>
        <v>3.99768184512254</v>
      </c>
      <c r="R118" s="658">
        <f t="shared" si="43"/>
        <v>0.83951318747573334</v>
      </c>
      <c r="S118" s="578">
        <f t="shared" si="44"/>
        <v>13.99188645792889</v>
      </c>
    </row>
    <row r="119" spans="1:19" ht="15.75" x14ac:dyDescent="0.25">
      <c r="A119" s="129">
        <f t="shared" si="45"/>
        <v>100008</v>
      </c>
      <c r="B119" s="93" t="s">
        <v>47</v>
      </c>
      <c r="C119" s="115">
        <v>2340</v>
      </c>
      <c r="D119" s="577">
        <v>8.7435789522680076E-3</v>
      </c>
      <c r="E119" s="625">
        <v>0.09</v>
      </c>
      <c r="F119" s="24" t="s">
        <v>215</v>
      </c>
      <c r="G119" s="601">
        <v>2.25</v>
      </c>
      <c r="H119" s="601">
        <v>3.75</v>
      </c>
      <c r="I119" s="608">
        <v>0.21</v>
      </c>
      <c r="J119" s="578">
        <f t="shared" si="36"/>
        <v>89644.250187890182</v>
      </c>
      <c r="K119" s="578">
        <f t="shared" si="37"/>
        <v>38.309508627303494</v>
      </c>
      <c r="L119" s="578">
        <f t="shared" si="38"/>
        <v>804.49968117337335</v>
      </c>
      <c r="M119" s="578">
        <f t="shared" ref="M119:M121" si="46">+L119/25</f>
        <v>32.179987246934935</v>
      </c>
      <c r="N119" s="578">
        <f t="shared" si="40"/>
        <v>6.7577973218563363</v>
      </c>
      <c r="O119" s="578">
        <f t="shared" si="41"/>
        <v>143.66065735238811</v>
      </c>
      <c r="P119" s="578">
        <f t="shared" si="35"/>
        <v>1882529.2539456936</v>
      </c>
      <c r="Q119" s="578">
        <f t="shared" si="42"/>
        <v>1.6894493304640841</v>
      </c>
      <c r="R119" s="658">
        <f t="shared" si="43"/>
        <v>0.35478435939745762</v>
      </c>
      <c r="S119" s="578">
        <f t="shared" si="44"/>
        <v>6.3354349892403157</v>
      </c>
    </row>
    <row r="120" spans="1:19" ht="15.75" x14ac:dyDescent="0.25">
      <c r="A120" s="129">
        <f t="shared" si="45"/>
        <v>100009</v>
      </c>
      <c r="B120" s="93" t="s">
        <v>50</v>
      </c>
      <c r="C120" s="115">
        <v>2240</v>
      </c>
      <c r="D120" s="577">
        <v>3.4666989811607013E-2</v>
      </c>
      <c r="E120" s="625">
        <v>0.1</v>
      </c>
      <c r="F120" s="24" t="s">
        <v>215</v>
      </c>
      <c r="G120" s="601">
        <v>2.5</v>
      </c>
      <c r="H120" s="601">
        <v>4</v>
      </c>
      <c r="I120" s="608">
        <v>0.21</v>
      </c>
      <c r="J120" s="578">
        <f t="shared" si="36"/>
        <v>355426.11611308547</v>
      </c>
      <c r="K120" s="578">
        <f t="shared" si="37"/>
        <v>158.6723732647703</v>
      </c>
      <c r="L120" s="578">
        <f t="shared" si="38"/>
        <v>3332.1198385601765</v>
      </c>
      <c r="M120" s="578">
        <f t="shared" si="46"/>
        <v>133.28479354240707</v>
      </c>
      <c r="N120" s="578">
        <f t="shared" si="40"/>
        <v>27.989806643905485</v>
      </c>
      <c r="O120" s="578">
        <f t="shared" si="41"/>
        <v>634.6894930590812</v>
      </c>
      <c r="P120" s="578">
        <f t="shared" si="35"/>
        <v>7463948.438374795</v>
      </c>
      <c r="Q120" s="578">
        <f t="shared" si="42"/>
        <v>6.9974516609763713</v>
      </c>
      <c r="R120" s="658">
        <f t="shared" si="43"/>
        <v>1.4694648488050379</v>
      </c>
      <c r="S120" s="578">
        <f t="shared" si="44"/>
        <v>27.989806643905485</v>
      </c>
    </row>
    <row r="121" spans="1:19" ht="15.75" x14ac:dyDescent="0.25">
      <c r="A121" s="129">
        <f t="shared" si="45"/>
        <v>100010</v>
      </c>
      <c r="B121" s="93" t="s">
        <v>52</v>
      </c>
      <c r="C121" s="115">
        <v>2300</v>
      </c>
      <c r="D121" s="577">
        <v>2.8351594888090376E-2</v>
      </c>
      <c r="E121" s="625">
        <v>0.36</v>
      </c>
      <c r="F121" s="24" t="s">
        <v>215</v>
      </c>
      <c r="G121" s="601">
        <v>9</v>
      </c>
      <c r="H121" s="601">
        <v>10.5</v>
      </c>
      <c r="I121" s="608">
        <v>0.21</v>
      </c>
      <c r="J121" s="578">
        <f t="shared" si="36"/>
        <v>290677.01901570003</v>
      </c>
      <c r="K121" s="578">
        <f t="shared" si="37"/>
        <v>126.38131261552175</v>
      </c>
      <c r="L121" s="578">
        <f t="shared" si="38"/>
        <v>2654.0075649259566</v>
      </c>
      <c r="M121" s="578">
        <f t="shared" si="46"/>
        <v>106.16030259703827</v>
      </c>
      <c r="N121" s="578">
        <f t="shared" si="40"/>
        <v>22.293663545378035</v>
      </c>
      <c r="O121" s="578">
        <f t="shared" si="41"/>
        <v>1327.0037824629783</v>
      </c>
      <c r="P121" s="578">
        <f t="shared" si="35"/>
        <v>6104217.3993297005</v>
      </c>
      <c r="Q121" s="578">
        <f t="shared" si="42"/>
        <v>5.5734158863445087</v>
      </c>
      <c r="R121" s="658">
        <f t="shared" si="43"/>
        <v>1.1704173361323469</v>
      </c>
      <c r="S121" s="578">
        <f t="shared" si="44"/>
        <v>58.520866806617342</v>
      </c>
    </row>
    <row r="122" spans="1:19" ht="15.75" x14ac:dyDescent="0.25">
      <c r="A122" s="129">
        <f t="shared" si="45"/>
        <v>100011</v>
      </c>
      <c r="B122" s="93" t="s">
        <v>53</v>
      </c>
      <c r="C122" s="115">
        <v>1260</v>
      </c>
      <c r="D122" s="577">
        <v>1.8298463263697554E-2</v>
      </c>
      <c r="E122" s="625">
        <v>0.15</v>
      </c>
      <c r="F122" s="24" t="s">
        <v>216</v>
      </c>
      <c r="G122" s="601">
        <v>3</v>
      </c>
      <c r="H122" s="601">
        <v>4.5</v>
      </c>
      <c r="I122" s="608">
        <v>0.21</v>
      </c>
      <c r="J122" s="578">
        <f t="shared" si="36"/>
        <v>187606.47417031994</v>
      </c>
      <c r="K122" s="578">
        <f t="shared" si="37"/>
        <v>148.89402711930154</v>
      </c>
      <c r="L122" s="578">
        <f t="shared" si="38"/>
        <v>3126.7745695053322</v>
      </c>
      <c r="M122" s="578">
        <f t="shared" ref="M122:M128" si="47">+L122/20</f>
        <v>156.33872847526661</v>
      </c>
      <c r="N122" s="578">
        <f t="shared" si="40"/>
        <v>32.831132979805986</v>
      </c>
      <c r="O122" s="578">
        <f t="shared" si="41"/>
        <v>670.02312203685688</v>
      </c>
      <c r="P122" s="578">
        <f t="shared" si="35"/>
        <v>3939735.9575767186</v>
      </c>
      <c r="Q122" s="578">
        <f t="shared" si="42"/>
        <v>8.2077832449514965</v>
      </c>
      <c r="R122" s="658">
        <f t="shared" si="43"/>
        <v>1.7236344814398141</v>
      </c>
      <c r="S122" s="578">
        <f t="shared" si="44"/>
        <v>36.935024602281736</v>
      </c>
    </row>
    <row r="123" spans="1:19" ht="15.75" x14ac:dyDescent="0.25">
      <c r="A123" s="129">
        <f t="shared" si="45"/>
        <v>100012</v>
      </c>
      <c r="B123" s="93" t="s">
        <v>55</v>
      </c>
      <c r="C123" s="115">
        <v>1260</v>
      </c>
      <c r="D123" s="577">
        <v>1.4356577442554015E-2</v>
      </c>
      <c r="E123" s="625">
        <v>0.09</v>
      </c>
      <c r="F123" s="24" t="s">
        <v>216</v>
      </c>
      <c r="G123" s="601">
        <v>1.7999999999999998</v>
      </c>
      <c r="H123" s="601">
        <v>3.3</v>
      </c>
      <c r="I123" s="608">
        <v>0.21</v>
      </c>
      <c r="J123" s="578">
        <f t="shared" si="36"/>
        <v>147191.97105989422</v>
      </c>
      <c r="K123" s="578">
        <f t="shared" si="37"/>
        <v>116.81902465070969</v>
      </c>
      <c r="L123" s="578">
        <f t="shared" si="38"/>
        <v>2453.1995176649034</v>
      </c>
      <c r="M123" s="578">
        <f t="shared" si="47"/>
        <v>122.65997588324517</v>
      </c>
      <c r="N123" s="578">
        <f t="shared" si="40"/>
        <v>25.758594935481483</v>
      </c>
      <c r="O123" s="578">
        <f t="shared" si="41"/>
        <v>385.50278134734197</v>
      </c>
      <c r="P123" s="578">
        <f t="shared" si="35"/>
        <v>3091031.3922577784</v>
      </c>
      <c r="Q123" s="578">
        <f t="shared" si="42"/>
        <v>6.4396487338703707</v>
      </c>
      <c r="R123" s="658">
        <f t="shared" si="43"/>
        <v>1.3523262341127777</v>
      </c>
      <c r="S123" s="578">
        <f t="shared" si="44"/>
        <v>21.250840821772222</v>
      </c>
    </row>
    <row r="124" spans="1:19" ht="15.75" x14ac:dyDescent="0.25">
      <c r="A124" s="129">
        <f t="shared" si="45"/>
        <v>100013</v>
      </c>
      <c r="B124" s="93" t="s">
        <v>57</v>
      </c>
      <c r="C124" s="115">
        <v>2710</v>
      </c>
      <c r="D124" s="577">
        <v>2.098811690004827E-2</v>
      </c>
      <c r="E124" s="625">
        <v>0.18</v>
      </c>
      <c r="F124" s="24" t="s">
        <v>218</v>
      </c>
      <c r="G124" s="601">
        <v>3.5999999999999996</v>
      </c>
      <c r="H124" s="601">
        <v>5.0999999999999996</v>
      </c>
      <c r="I124" s="608">
        <v>0.21</v>
      </c>
      <c r="J124" s="578">
        <f t="shared" si="36"/>
        <v>215182.36555439097</v>
      </c>
      <c r="K124" s="578">
        <f t="shared" si="37"/>
        <v>79.403086920439478</v>
      </c>
      <c r="L124" s="578">
        <f t="shared" si="38"/>
        <v>1667.4648253292289</v>
      </c>
      <c r="M124" s="578">
        <f t="shared" si="47"/>
        <v>83.373241266461449</v>
      </c>
      <c r="N124" s="578">
        <f t="shared" si="40"/>
        <v>17.508380665956903</v>
      </c>
      <c r="O124" s="578">
        <f t="shared" si="41"/>
        <v>404.9557432942413</v>
      </c>
      <c r="P124" s="578">
        <f t="shared" si="35"/>
        <v>4518829.6766422102</v>
      </c>
      <c r="Q124" s="578">
        <f t="shared" si="42"/>
        <v>4.3770951664892257</v>
      </c>
      <c r="R124" s="658">
        <f t="shared" si="43"/>
        <v>0.91918998496273741</v>
      </c>
      <c r="S124" s="578">
        <f t="shared" si="44"/>
        <v>22.323185349095048</v>
      </c>
    </row>
    <row r="125" spans="1:19" ht="15.75" x14ac:dyDescent="0.25">
      <c r="A125" s="129">
        <f t="shared" si="45"/>
        <v>100014</v>
      </c>
      <c r="B125" s="93" t="s">
        <v>59</v>
      </c>
      <c r="C125" s="115">
        <v>1480</v>
      </c>
      <c r="D125" s="577">
        <v>2.0679468122106363E-2</v>
      </c>
      <c r="E125" s="625">
        <v>0.56000000000000005</v>
      </c>
      <c r="F125" s="24" t="s">
        <v>219</v>
      </c>
      <c r="G125" s="601">
        <v>11.200000000000001</v>
      </c>
      <c r="H125" s="601">
        <v>13.000000000000002</v>
      </c>
      <c r="I125" s="608">
        <v>0.35</v>
      </c>
      <c r="J125" s="578">
        <f t="shared" si="36"/>
        <v>212017.9190021203</v>
      </c>
      <c r="K125" s="578">
        <f t="shared" si="37"/>
        <v>143.25535067710831</v>
      </c>
      <c r="L125" s="578">
        <f t="shared" si="38"/>
        <v>3008.3623642192747</v>
      </c>
      <c r="M125" s="578">
        <f t="shared" si="47"/>
        <v>150.41811821096374</v>
      </c>
      <c r="N125" s="578">
        <f t="shared" si="40"/>
        <v>52.646341373837309</v>
      </c>
      <c r="O125" s="578">
        <f t="shared" si="41"/>
        <v>1862.3195588024082</v>
      </c>
      <c r="P125" s="578">
        <f t="shared" si="35"/>
        <v>4452376.2990445262</v>
      </c>
      <c r="Q125" s="578">
        <f t="shared" si="42"/>
        <v>13.161585343459327</v>
      </c>
      <c r="R125" s="658">
        <f t="shared" si="43"/>
        <v>4.6065548702107639</v>
      </c>
      <c r="S125" s="578">
        <f t="shared" si="44"/>
        <v>171.10060946497128</v>
      </c>
    </row>
    <row r="126" spans="1:19" ht="15.75" x14ac:dyDescent="0.25">
      <c r="A126" s="129">
        <f>+A125+1</f>
        <v>100015</v>
      </c>
      <c r="B126" s="94" t="s">
        <v>62</v>
      </c>
      <c r="C126" s="241">
        <v>2360</v>
      </c>
      <c r="D126" s="577">
        <v>5.4548355917159799E-2</v>
      </c>
      <c r="E126" s="627">
        <v>0.60000000000000009</v>
      </c>
      <c r="F126" s="24" t="s">
        <v>216</v>
      </c>
      <c r="G126" s="602">
        <v>12.000000000000002</v>
      </c>
      <c r="H126" s="602">
        <v>13.500000000000002</v>
      </c>
      <c r="I126" s="609">
        <v>0.21</v>
      </c>
      <c r="J126" s="578">
        <f t="shared" si="36"/>
        <v>559261.42965833726</v>
      </c>
      <c r="K126" s="578">
        <f t="shared" si="37"/>
        <v>236.97518205861749</v>
      </c>
      <c r="L126" s="578">
        <f t="shared" si="38"/>
        <v>4976.4788232309675</v>
      </c>
      <c r="M126" s="578">
        <f t="shared" si="47"/>
        <v>248.82394116154836</v>
      </c>
      <c r="N126" s="578">
        <f t="shared" si="40"/>
        <v>52.253027643925151</v>
      </c>
      <c r="O126" s="578">
        <f t="shared" si="41"/>
        <v>3199.1649577913367</v>
      </c>
      <c r="P126" s="578">
        <f t="shared" si="35"/>
        <v>11744490.022825083</v>
      </c>
      <c r="Q126" s="578">
        <f t="shared" si="42"/>
        <v>13.063256910981288</v>
      </c>
      <c r="R126" s="658">
        <f t="shared" si="43"/>
        <v>2.7432839513060703</v>
      </c>
      <c r="S126" s="578">
        <f t="shared" si="44"/>
        <v>176.35396829824739</v>
      </c>
    </row>
    <row r="127" spans="1:19" ht="15.75" x14ac:dyDescent="0.25">
      <c r="A127" s="129">
        <f t="shared" si="45"/>
        <v>100016</v>
      </c>
      <c r="B127" s="94" t="s">
        <v>65</v>
      </c>
      <c r="C127" s="241">
        <v>5000</v>
      </c>
      <c r="D127" s="577">
        <v>1.2735897046611974E-2</v>
      </c>
      <c r="E127" s="627">
        <v>0.48</v>
      </c>
      <c r="F127" s="24" t="s">
        <v>218</v>
      </c>
      <c r="G127" s="602">
        <v>9.6</v>
      </c>
      <c r="H127" s="602">
        <v>11.1</v>
      </c>
      <c r="I127" s="609">
        <v>0.21</v>
      </c>
      <c r="J127" s="578">
        <f t="shared" si="36"/>
        <v>130575.81425710676</v>
      </c>
      <c r="K127" s="578">
        <f t="shared" si="37"/>
        <v>26.115162851421353</v>
      </c>
      <c r="L127" s="578">
        <f t="shared" si="38"/>
        <v>548.41841987984844</v>
      </c>
      <c r="M127" s="578">
        <f t="shared" si="47"/>
        <v>27.420920993992421</v>
      </c>
      <c r="N127" s="578">
        <f t="shared" si="40"/>
        <v>5.7583934087384083</v>
      </c>
      <c r="O127" s="578">
        <f t="shared" si="41"/>
        <v>289.878307650777</v>
      </c>
      <c r="P127" s="578">
        <f t="shared" si="35"/>
        <v>2742092.0993992421</v>
      </c>
      <c r="Q127" s="578">
        <f t="shared" si="42"/>
        <v>1.4395983521846021</v>
      </c>
      <c r="R127" s="658">
        <f t="shared" si="43"/>
        <v>0.30231565395876642</v>
      </c>
      <c r="S127" s="578">
        <f t="shared" si="44"/>
        <v>15.979541709249082</v>
      </c>
    </row>
    <row r="128" spans="1:19" ht="15.75" x14ac:dyDescent="0.25">
      <c r="A128" s="129">
        <f t="shared" si="45"/>
        <v>100017</v>
      </c>
      <c r="B128" s="94" t="s">
        <v>66</v>
      </c>
      <c r="C128" s="241">
        <v>3590</v>
      </c>
      <c r="D128" s="577">
        <v>9.1809484158309283E-3</v>
      </c>
      <c r="E128" s="627">
        <v>0.2</v>
      </c>
      <c r="F128" s="24" t="s">
        <v>218</v>
      </c>
      <c r="G128" s="602">
        <v>4</v>
      </c>
      <c r="H128" s="602">
        <v>5.5</v>
      </c>
      <c r="I128" s="609">
        <v>0.21</v>
      </c>
      <c r="J128" s="578">
        <f t="shared" si="36"/>
        <v>94128.4159774617</v>
      </c>
      <c r="K128" s="578">
        <f t="shared" si="37"/>
        <v>26.219614478401589</v>
      </c>
      <c r="L128" s="578">
        <f t="shared" si="38"/>
        <v>550.61190404643332</v>
      </c>
      <c r="M128" s="578">
        <f t="shared" si="47"/>
        <v>27.530595202321667</v>
      </c>
      <c r="N128" s="578">
        <f t="shared" si="40"/>
        <v>5.7814249924875503</v>
      </c>
      <c r="O128" s="578">
        <f t="shared" si="41"/>
        <v>144.20787963120873</v>
      </c>
      <c r="P128" s="578">
        <f t="shared" si="35"/>
        <v>1976696.7355266956</v>
      </c>
      <c r="Q128" s="578">
        <f t="shared" si="42"/>
        <v>1.4453562481218876</v>
      </c>
      <c r="R128" s="658">
        <f t="shared" si="43"/>
        <v>0.3035248121055964</v>
      </c>
      <c r="S128" s="578">
        <f t="shared" si="44"/>
        <v>7.9494593646703819</v>
      </c>
    </row>
    <row r="129" spans="1:19" ht="15.75" x14ac:dyDescent="0.25">
      <c r="A129" s="129">
        <f t="shared" si="45"/>
        <v>100018</v>
      </c>
      <c r="B129" s="94" t="s">
        <v>68</v>
      </c>
      <c r="C129" s="241">
        <v>12330</v>
      </c>
      <c r="D129" s="577">
        <v>8.7539275592806512E-3</v>
      </c>
      <c r="E129" s="627">
        <v>0.12</v>
      </c>
      <c r="F129" s="24" t="s">
        <v>215</v>
      </c>
      <c r="G129" s="602">
        <v>3</v>
      </c>
      <c r="H129" s="602">
        <v>4.5</v>
      </c>
      <c r="I129" s="609">
        <v>0.21</v>
      </c>
      <c r="J129" s="578">
        <f t="shared" si="36"/>
        <v>89750.350118044866</v>
      </c>
      <c r="K129" s="578">
        <f t="shared" si="37"/>
        <v>7.2790227184140202</v>
      </c>
      <c r="L129" s="578">
        <f t="shared" si="38"/>
        <v>152.85947708669443</v>
      </c>
      <c r="M129" s="578">
        <f t="shared" ref="M129" si="48">+L129/25</f>
        <v>6.1143790834677771</v>
      </c>
      <c r="N129" s="578">
        <f t="shared" si="40"/>
        <v>1.2840196075282331</v>
      </c>
      <c r="O129" s="578">
        <f t="shared" si="41"/>
        <v>32.75560223286309</v>
      </c>
      <c r="P129" s="578">
        <f t="shared" si="35"/>
        <v>1884757.3524789424</v>
      </c>
      <c r="Q129" s="578">
        <f t="shared" si="42"/>
        <v>0.32100490188205827</v>
      </c>
      <c r="R129" s="658">
        <f t="shared" si="43"/>
        <v>6.7411029395232233E-2</v>
      </c>
      <c r="S129" s="578">
        <f t="shared" si="44"/>
        <v>1.4445220584692622</v>
      </c>
    </row>
    <row r="130" spans="1:19" ht="15.75" x14ac:dyDescent="0.25">
      <c r="A130" s="129">
        <f t="shared" si="45"/>
        <v>100019</v>
      </c>
      <c r="B130" s="94" t="s">
        <v>70</v>
      </c>
      <c r="C130" s="241">
        <v>7480</v>
      </c>
      <c r="D130" s="577">
        <v>7.6756998964912062E-3</v>
      </c>
      <c r="E130" s="627">
        <v>8.5000000000000006E-2</v>
      </c>
      <c r="F130" s="24" t="s">
        <v>214</v>
      </c>
      <c r="G130" s="602">
        <v>1.02</v>
      </c>
      <c r="H130" s="602">
        <v>2.52</v>
      </c>
      <c r="I130" s="609">
        <v>1.2000000000000002E-2</v>
      </c>
      <c r="J130" s="578">
        <f t="shared" si="36"/>
        <v>78695.733823017392</v>
      </c>
      <c r="K130" s="578">
        <f t="shared" si="37"/>
        <v>10.520820029815159</v>
      </c>
      <c r="L130" s="578">
        <f t="shared" si="38"/>
        <v>220.93722062611835</v>
      </c>
      <c r="M130" s="578">
        <f>+L130/12</f>
        <v>18.411435052176529</v>
      </c>
      <c r="N130" s="578">
        <f t="shared" si="40"/>
        <v>0.2209372206261184</v>
      </c>
      <c r="O130" s="578">
        <f t="shared" si="41"/>
        <v>26.5124664751342</v>
      </c>
      <c r="P130" s="578">
        <f t="shared" si="35"/>
        <v>1652610.4102833653</v>
      </c>
      <c r="Q130" s="578">
        <f t="shared" si="42"/>
        <v>5.5234305156529599E-2</v>
      </c>
      <c r="R130" s="658">
        <f t="shared" si="43"/>
        <v>6.6281166187835531E-4</v>
      </c>
      <c r="S130" s="578">
        <f t="shared" si="44"/>
        <v>0.1391904489944546</v>
      </c>
    </row>
    <row r="131" spans="1:19" ht="15.75" x14ac:dyDescent="0.25">
      <c r="A131" s="129">
        <f t="shared" si="45"/>
        <v>100020</v>
      </c>
      <c r="B131" s="94" t="s">
        <v>72</v>
      </c>
      <c r="C131" s="241">
        <v>4100</v>
      </c>
      <c r="D131" s="577">
        <v>5.1954204213616869E-3</v>
      </c>
      <c r="E131" s="627">
        <v>0.84000000000000008</v>
      </c>
      <c r="F131" s="24" t="s">
        <v>224</v>
      </c>
      <c r="G131" s="602">
        <v>6.7200000000000006</v>
      </c>
      <c r="H131" s="602">
        <v>8.2200000000000006</v>
      </c>
      <c r="I131" s="609">
        <v>0.21</v>
      </c>
      <c r="J131" s="578">
        <f t="shared" si="36"/>
        <v>53266.467956238004</v>
      </c>
      <c r="K131" s="578">
        <f t="shared" si="37"/>
        <v>12.991821452740977</v>
      </c>
      <c r="L131" s="578">
        <f t="shared" si="38"/>
        <v>272.82825050756054</v>
      </c>
      <c r="M131" s="578">
        <f>+L131/8</f>
        <v>34.103531313445067</v>
      </c>
      <c r="N131" s="578">
        <f t="shared" si="40"/>
        <v>7.1617415758234637</v>
      </c>
      <c r="O131" s="578">
        <f t="shared" si="41"/>
        <v>106.79277234153083</v>
      </c>
      <c r="P131" s="578">
        <f t="shared" si="35"/>
        <v>1118595.8270809981</v>
      </c>
      <c r="Q131" s="578">
        <f t="shared" si="42"/>
        <v>1.7904353939558659</v>
      </c>
      <c r="R131" s="658">
        <f t="shared" si="43"/>
        <v>0.37599143273073182</v>
      </c>
      <c r="S131" s="578">
        <f t="shared" si="44"/>
        <v>14.71737893831722</v>
      </c>
    </row>
    <row r="132" spans="1:19" ht="15.75" x14ac:dyDescent="0.25">
      <c r="A132" s="129">
        <f>+A131+1</f>
        <v>100021</v>
      </c>
      <c r="B132" s="92" t="s">
        <v>73</v>
      </c>
      <c r="C132" s="243">
        <v>3300</v>
      </c>
      <c r="D132" s="577">
        <v>7.8910293316201436E-3</v>
      </c>
      <c r="E132" s="629">
        <v>2.5499999999999998</v>
      </c>
      <c r="F132" s="24" t="s">
        <v>223</v>
      </c>
      <c r="G132" s="603">
        <v>10.199999999999999</v>
      </c>
      <c r="H132" s="603">
        <v>11.7</v>
      </c>
      <c r="I132" s="610">
        <v>0.21</v>
      </c>
      <c r="J132" s="578">
        <f t="shared" si="36"/>
        <v>80903.416267573863</v>
      </c>
      <c r="K132" s="578">
        <f t="shared" si="37"/>
        <v>24.516186747749654</v>
      </c>
      <c r="L132" s="578">
        <f t="shared" si="38"/>
        <v>514.83992170274269</v>
      </c>
      <c r="M132" s="578">
        <f>+L132/4</f>
        <v>128.70998042568567</v>
      </c>
      <c r="N132" s="578">
        <f t="shared" si="40"/>
        <v>27.029095889393989</v>
      </c>
      <c r="O132" s="578">
        <f t="shared" si="41"/>
        <v>286.83938494867095</v>
      </c>
      <c r="P132" s="578">
        <f t="shared" si="35"/>
        <v>1698971.741619051</v>
      </c>
      <c r="Q132" s="578">
        <f t="shared" si="42"/>
        <v>6.7572739723484974</v>
      </c>
      <c r="R132" s="658">
        <f t="shared" si="43"/>
        <v>1.4190275341931844</v>
      </c>
      <c r="S132" s="578">
        <f t="shared" si="44"/>
        <v>79.060105476477418</v>
      </c>
    </row>
    <row r="133" spans="1:19" ht="15.75" x14ac:dyDescent="0.25">
      <c r="A133" s="129">
        <f t="shared" si="45"/>
        <v>100022</v>
      </c>
      <c r="B133" s="92" t="s">
        <v>76</v>
      </c>
      <c r="C133" s="243">
        <v>3000</v>
      </c>
      <c r="D133" s="577">
        <v>9.4692351979441727E-3</v>
      </c>
      <c r="E133" s="629">
        <v>1.7879999999999998</v>
      </c>
      <c r="F133" s="24" t="s">
        <v>223</v>
      </c>
      <c r="G133" s="603">
        <v>7.1519999999999992</v>
      </c>
      <c r="H133" s="603">
        <v>8.6519999999999992</v>
      </c>
      <c r="I133" s="610">
        <v>0.21</v>
      </c>
      <c r="J133" s="578">
        <f t="shared" si="36"/>
        <v>97084.099521088647</v>
      </c>
      <c r="K133" s="578">
        <f t="shared" si="37"/>
        <v>32.361366507029551</v>
      </c>
      <c r="L133" s="578">
        <f t="shared" si="38"/>
        <v>679.58869664762062</v>
      </c>
      <c r="M133" s="578">
        <f t="shared" ref="M133:M140" si="49">+L133/4</f>
        <v>169.89717416190516</v>
      </c>
      <c r="N133" s="578">
        <f t="shared" si="40"/>
        <v>35.678406574000078</v>
      </c>
      <c r="O133" s="578">
        <f t="shared" si="41"/>
        <v>279.99054301881966</v>
      </c>
      <c r="P133" s="578">
        <f t="shared" si="35"/>
        <v>2038766.0899428618</v>
      </c>
      <c r="Q133" s="578">
        <f t="shared" si="42"/>
        <v>8.9196016435000196</v>
      </c>
      <c r="R133" s="658">
        <f t="shared" si="43"/>
        <v>1.8731163451350041</v>
      </c>
      <c r="S133" s="578">
        <f t="shared" si="44"/>
        <v>77.172393419562169</v>
      </c>
    </row>
    <row r="134" spans="1:19" ht="15.75" x14ac:dyDescent="0.25">
      <c r="A134" s="129">
        <f t="shared" si="45"/>
        <v>100023</v>
      </c>
      <c r="B134" s="92" t="s">
        <v>78</v>
      </c>
      <c r="C134" s="243">
        <v>3800</v>
      </c>
      <c r="D134" s="577">
        <v>1.2625646930592231E-2</v>
      </c>
      <c r="E134" s="629">
        <v>1.02</v>
      </c>
      <c r="F134" s="24" t="s">
        <v>223</v>
      </c>
      <c r="G134" s="603">
        <v>4.08</v>
      </c>
      <c r="H134" s="603">
        <v>5.58</v>
      </c>
      <c r="I134" s="610">
        <v>0.21</v>
      </c>
      <c r="J134" s="578">
        <f t="shared" si="36"/>
        <v>129445.4660281182</v>
      </c>
      <c r="K134" s="578">
        <f t="shared" si="37"/>
        <v>34.064596323189001</v>
      </c>
      <c r="L134" s="578">
        <f t="shared" si="38"/>
        <v>715.35652278696898</v>
      </c>
      <c r="M134" s="578">
        <f t="shared" si="49"/>
        <v>178.83913069674225</v>
      </c>
      <c r="N134" s="578">
        <f t="shared" si="40"/>
        <v>37.55621744631587</v>
      </c>
      <c r="O134" s="578">
        <f t="shared" si="41"/>
        <v>190.08044748339464</v>
      </c>
      <c r="P134" s="578">
        <f t="shared" si="35"/>
        <v>2718354.7865904821</v>
      </c>
      <c r="Q134" s="578">
        <f t="shared" si="42"/>
        <v>9.3890543615789674</v>
      </c>
      <c r="R134" s="658">
        <f t="shared" si="43"/>
        <v>1.9717014159315831</v>
      </c>
      <c r="S134" s="578">
        <f t="shared" si="44"/>
        <v>52.390923337610637</v>
      </c>
    </row>
    <row r="135" spans="1:19" ht="15.75" x14ac:dyDescent="0.25">
      <c r="A135" s="129">
        <f t="shared" si="45"/>
        <v>100024</v>
      </c>
      <c r="B135" s="95" t="s">
        <v>80</v>
      </c>
      <c r="C135" s="243">
        <v>2300</v>
      </c>
      <c r="D135" s="577">
        <v>1.8938470395888345E-2</v>
      </c>
      <c r="E135" s="629">
        <v>1.1040000000000001</v>
      </c>
      <c r="F135" s="24" t="s">
        <v>223</v>
      </c>
      <c r="G135" s="603">
        <v>4.4160000000000004</v>
      </c>
      <c r="H135" s="603">
        <v>5.9160000000000004</v>
      </c>
      <c r="I135" s="610">
        <v>0.21</v>
      </c>
      <c r="J135" s="578">
        <f t="shared" si="36"/>
        <v>194168.19904217729</v>
      </c>
      <c r="K135" s="578">
        <f t="shared" si="37"/>
        <v>84.420956105294479</v>
      </c>
      <c r="L135" s="578">
        <f t="shared" si="38"/>
        <v>1772.8400782111842</v>
      </c>
      <c r="M135" s="578">
        <f t="shared" si="49"/>
        <v>443.21001955279604</v>
      </c>
      <c r="N135" s="578">
        <f t="shared" si="40"/>
        <v>93.074104106087162</v>
      </c>
      <c r="O135" s="578">
        <f t="shared" si="41"/>
        <v>499.43437631892215</v>
      </c>
      <c r="P135" s="578">
        <f t="shared" si="35"/>
        <v>4077532.1798857236</v>
      </c>
      <c r="Q135" s="578">
        <f t="shared" si="42"/>
        <v>23.268526026521791</v>
      </c>
      <c r="R135" s="658">
        <f t="shared" si="43"/>
        <v>4.8863904655695762</v>
      </c>
      <c r="S135" s="578">
        <f t="shared" si="44"/>
        <v>137.65659997290291</v>
      </c>
    </row>
    <row r="136" spans="1:19" ht="15.75" x14ac:dyDescent="0.25">
      <c r="A136" s="129">
        <f t="shared" si="45"/>
        <v>100025</v>
      </c>
      <c r="B136" s="95" t="s">
        <v>82</v>
      </c>
      <c r="C136" s="243">
        <v>3900</v>
      </c>
      <c r="D136" s="577">
        <v>9.4692351979441727E-3</v>
      </c>
      <c r="E136" s="629">
        <v>2.1239999999999997</v>
      </c>
      <c r="F136" s="24" t="s">
        <v>223</v>
      </c>
      <c r="G136" s="603">
        <v>8.4959999999999987</v>
      </c>
      <c r="H136" s="603">
        <v>9.9959999999999987</v>
      </c>
      <c r="I136" s="610">
        <v>0.21</v>
      </c>
      <c r="J136" s="578">
        <f t="shared" si="36"/>
        <v>97084.099521088647</v>
      </c>
      <c r="K136" s="578">
        <f t="shared" si="37"/>
        <v>24.893358851561192</v>
      </c>
      <c r="L136" s="578">
        <f t="shared" si="38"/>
        <v>522.76053588278501</v>
      </c>
      <c r="M136" s="578">
        <f t="shared" si="49"/>
        <v>130.69013397069625</v>
      </c>
      <c r="N136" s="578">
        <f t="shared" si="40"/>
        <v>27.444928133846211</v>
      </c>
      <c r="O136" s="578">
        <f t="shared" si="41"/>
        <v>248.83401508020563</v>
      </c>
      <c r="P136" s="578">
        <f t="shared" si="35"/>
        <v>2038766.0899428616</v>
      </c>
      <c r="Q136" s="578">
        <f t="shared" si="42"/>
        <v>6.8612320334615529</v>
      </c>
      <c r="R136" s="658">
        <f t="shared" si="43"/>
        <v>1.440858727026926</v>
      </c>
      <c r="S136" s="578">
        <f t="shared" si="44"/>
        <v>68.584875406481672</v>
      </c>
    </row>
    <row r="137" spans="1:19" ht="15.75" x14ac:dyDescent="0.25">
      <c r="A137" s="129">
        <f t="shared" si="45"/>
        <v>100026</v>
      </c>
      <c r="B137" s="95" t="s">
        <v>84</v>
      </c>
      <c r="C137" s="243">
        <v>3000</v>
      </c>
      <c r="D137" s="577">
        <v>2.0516676262212374E-2</v>
      </c>
      <c r="E137" s="629">
        <v>1.1040000000000001</v>
      </c>
      <c r="F137" s="24" t="s">
        <v>223</v>
      </c>
      <c r="G137" s="603">
        <v>4.4160000000000004</v>
      </c>
      <c r="H137" s="603">
        <v>5.9160000000000004</v>
      </c>
      <c r="I137" s="610">
        <v>0.21</v>
      </c>
      <c r="J137" s="578">
        <f t="shared" si="36"/>
        <v>210348.88229569205</v>
      </c>
      <c r="K137" s="578">
        <f t="shared" si="37"/>
        <v>70.116294098564012</v>
      </c>
      <c r="L137" s="578">
        <f t="shared" si="38"/>
        <v>1472.4421760698442</v>
      </c>
      <c r="M137" s="578">
        <f t="shared" si="49"/>
        <v>368.11054401746105</v>
      </c>
      <c r="N137" s="578">
        <f t="shared" si="40"/>
        <v>77.303214243666815</v>
      </c>
      <c r="O137" s="578">
        <f t="shared" si="41"/>
        <v>414.80799588710471</v>
      </c>
      <c r="P137" s="578">
        <f t="shared" si="35"/>
        <v>4417326.5282095326</v>
      </c>
      <c r="Q137" s="578">
        <f t="shared" si="42"/>
        <v>19.325803560916704</v>
      </c>
      <c r="R137" s="658">
        <f t="shared" si="43"/>
        <v>4.0584187477925076</v>
      </c>
      <c r="S137" s="578">
        <f t="shared" si="44"/>
        <v>114.33145386638323</v>
      </c>
    </row>
    <row r="138" spans="1:19" ht="15.75" x14ac:dyDescent="0.25">
      <c r="A138" s="129">
        <f t="shared" si="45"/>
        <v>100027</v>
      </c>
      <c r="B138" s="95" t="s">
        <v>85</v>
      </c>
      <c r="C138" s="118">
        <v>4100</v>
      </c>
      <c r="D138" s="577">
        <v>7.8910293316201436E-3</v>
      </c>
      <c r="E138" s="631">
        <v>2.1239999999999997</v>
      </c>
      <c r="F138" s="24" t="s">
        <v>223</v>
      </c>
      <c r="G138" s="604">
        <v>8.4959999999999987</v>
      </c>
      <c r="H138" s="604">
        <v>9.9959999999999987</v>
      </c>
      <c r="I138" s="611">
        <v>0.21</v>
      </c>
      <c r="J138" s="578">
        <f t="shared" si="36"/>
        <v>80903.416267573863</v>
      </c>
      <c r="K138" s="578">
        <f t="shared" si="37"/>
        <v>19.732540553066794</v>
      </c>
      <c r="L138" s="578">
        <f t="shared" si="38"/>
        <v>414.38335161440267</v>
      </c>
      <c r="M138" s="578">
        <f t="shared" si="49"/>
        <v>103.59583790360067</v>
      </c>
      <c r="N138" s="578">
        <f t="shared" si="40"/>
        <v>21.755125959756139</v>
      </c>
      <c r="O138" s="578">
        <f t="shared" si="41"/>
        <v>197.24647536845566</v>
      </c>
      <c r="P138" s="578">
        <f t="shared" si="35"/>
        <v>1698971.741619051</v>
      </c>
      <c r="Q138" s="578">
        <f t="shared" si="42"/>
        <v>5.4387814899390348</v>
      </c>
      <c r="R138" s="658">
        <f t="shared" si="43"/>
        <v>1.1421441128871972</v>
      </c>
      <c r="S138" s="578">
        <f t="shared" si="44"/>
        <v>54.366059773430585</v>
      </c>
    </row>
    <row r="139" spans="1:19" ht="15.75" x14ac:dyDescent="0.25">
      <c r="A139" s="129">
        <f>+A138+1</f>
        <v>100028</v>
      </c>
      <c r="B139" s="95" t="s">
        <v>86</v>
      </c>
      <c r="C139" s="245">
        <v>2350</v>
      </c>
      <c r="D139" s="577">
        <v>7.8910293316201436E-3</v>
      </c>
      <c r="E139" s="633">
        <v>1.2000000000000002</v>
      </c>
      <c r="F139" s="24" t="s">
        <v>216</v>
      </c>
      <c r="G139" s="605">
        <v>24.000000000000004</v>
      </c>
      <c r="H139" s="605">
        <v>25.500000000000004</v>
      </c>
      <c r="I139" s="612">
        <v>0.21</v>
      </c>
      <c r="J139" s="578">
        <f t="shared" si="36"/>
        <v>80903.416267573863</v>
      </c>
      <c r="K139" s="578">
        <f t="shared" si="37"/>
        <v>34.426985645776114</v>
      </c>
      <c r="L139" s="578">
        <f t="shared" si="38"/>
        <v>722.96669856129836</v>
      </c>
      <c r="M139" s="578">
        <f t="shared" ref="M139" si="50">+L139/20</f>
        <v>36.148334928064919</v>
      </c>
      <c r="N139" s="578">
        <f t="shared" si="40"/>
        <v>7.5911503348936327</v>
      </c>
      <c r="O139" s="578">
        <f t="shared" si="41"/>
        <v>877.88813396729097</v>
      </c>
      <c r="P139" s="578">
        <f t="shared" si="35"/>
        <v>1698971.7416190512</v>
      </c>
      <c r="Q139" s="578">
        <f t="shared" si="42"/>
        <v>1.8977875837234082</v>
      </c>
      <c r="R139" s="658">
        <f t="shared" si="43"/>
        <v>0.39853539258191573</v>
      </c>
      <c r="S139" s="578">
        <f t="shared" si="44"/>
        <v>48.393583384946915</v>
      </c>
    </row>
    <row r="140" spans="1:19" ht="15.75" x14ac:dyDescent="0.25">
      <c r="A140" s="129">
        <f t="shared" si="45"/>
        <v>100029</v>
      </c>
      <c r="B140" s="95" t="s">
        <v>89</v>
      </c>
      <c r="C140" s="245">
        <v>3000</v>
      </c>
      <c r="D140" s="577">
        <v>6.3128234652961154E-3</v>
      </c>
      <c r="E140" s="633">
        <v>6</v>
      </c>
      <c r="F140" s="24" t="s">
        <v>223</v>
      </c>
      <c r="G140" s="605">
        <v>24</v>
      </c>
      <c r="H140" s="605">
        <v>25.5</v>
      </c>
      <c r="I140" s="612">
        <v>0.21</v>
      </c>
      <c r="J140" s="578">
        <f t="shared" si="36"/>
        <v>64722.7330140591</v>
      </c>
      <c r="K140" s="578">
        <f t="shared" si="37"/>
        <v>21.5742443380197</v>
      </c>
      <c r="L140" s="578">
        <f t="shared" si="38"/>
        <v>453.05913109841367</v>
      </c>
      <c r="M140" s="578">
        <f t="shared" si="49"/>
        <v>113.26478277460342</v>
      </c>
      <c r="N140" s="578">
        <f t="shared" si="40"/>
        <v>23.785604382666715</v>
      </c>
      <c r="O140" s="578">
        <f t="shared" si="41"/>
        <v>550.14323061950233</v>
      </c>
      <c r="P140" s="578">
        <f t="shared" si="35"/>
        <v>1359177.3932952411</v>
      </c>
      <c r="Q140" s="578">
        <f t="shared" si="42"/>
        <v>5.9464010956666788</v>
      </c>
      <c r="R140" s="658">
        <f t="shared" si="43"/>
        <v>1.2487442300900025</v>
      </c>
      <c r="S140" s="578">
        <f t="shared" si="44"/>
        <v>151.6332279395003</v>
      </c>
    </row>
    <row r="141" spans="1:19" ht="15.75" x14ac:dyDescent="0.25">
      <c r="A141" s="129">
        <f t="shared" si="45"/>
        <v>100030</v>
      </c>
      <c r="B141" s="95" t="s">
        <v>91</v>
      </c>
      <c r="C141" s="245">
        <v>2300</v>
      </c>
      <c r="D141" s="577">
        <v>4.7346175989720863E-3</v>
      </c>
      <c r="E141" s="633">
        <v>3</v>
      </c>
      <c r="F141" s="24" t="s">
        <v>224</v>
      </c>
      <c r="G141" s="605">
        <v>24</v>
      </c>
      <c r="H141" s="605">
        <v>25.5</v>
      </c>
      <c r="I141" s="612">
        <v>0.21</v>
      </c>
      <c r="J141" s="578">
        <f t="shared" si="36"/>
        <v>48542.049760544323</v>
      </c>
      <c r="K141" s="578">
        <f t="shared" si="37"/>
        <v>21.10523902632362</v>
      </c>
      <c r="L141" s="578">
        <f t="shared" si="38"/>
        <v>443.21001955279604</v>
      </c>
      <c r="M141" s="578">
        <f>+L141/8</f>
        <v>55.401252444099505</v>
      </c>
      <c r="N141" s="578">
        <f t="shared" si="40"/>
        <v>11.634263013260895</v>
      </c>
      <c r="O141" s="578">
        <f t="shared" si="41"/>
        <v>538.18359517125225</v>
      </c>
      <c r="P141" s="578">
        <f t="shared" si="35"/>
        <v>1019383.0449714309</v>
      </c>
      <c r="Q141" s="578">
        <f t="shared" si="42"/>
        <v>2.9085657533152238</v>
      </c>
      <c r="R141" s="658">
        <f t="shared" si="43"/>
        <v>0.61079880819619703</v>
      </c>
      <c r="S141" s="578">
        <f t="shared" si="44"/>
        <v>74.16842670953821</v>
      </c>
    </row>
    <row r="142" spans="1:19" ht="15.75" x14ac:dyDescent="0.25">
      <c r="A142" s="129">
        <f t="shared" si="45"/>
        <v>100031</v>
      </c>
      <c r="B142" s="95" t="s">
        <v>93</v>
      </c>
      <c r="C142" s="245">
        <v>3800</v>
      </c>
      <c r="D142" s="577">
        <v>6.3128234652961154E-3</v>
      </c>
      <c r="E142" s="633">
        <v>3.5999999999999996</v>
      </c>
      <c r="F142" s="34" t="s">
        <v>233</v>
      </c>
      <c r="G142" s="605">
        <v>25.199999999999996</v>
      </c>
      <c r="H142" s="605">
        <v>26.699999999999996</v>
      </c>
      <c r="I142" s="612">
        <v>0.21</v>
      </c>
      <c r="J142" s="578">
        <f t="shared" si="36"/>
        <v>64722.7330140591</v>
      </c>
      <c r="K142" s="578">
        <f t="shared" si="37"/>
        <v>17.0322981615945</v>
      </c>
      <c r="L142" s="578">
        <f t="shared" si="38"/>
        <v>357.67826139348449</v>
      </c>
      <c r="M142" s="578">
        <f>+L141/7</f>
        <v>63.315717078970863</v>
      </c>
      <c r="N142" s="578">
        <f t="shared" si="40"/>
        <v>13.296300586583881</v>
      </c>
      <c r="O142" s="578">
        <f t="shared" si="41"/>
        <v>454.76236091457309</v>
      </c>
      <c r="P142" s="578">
        <f t="shared" si="35"/>
        <v>1359177.3932952411</v>
      </c>
      <c r="Q142" s="578">
        <f t="shared" si="42"/>
        <v>3.3240751466459701</v>
      </c>
      <c r="R142" s="658">
        <f t="shared" si="43"/>
        <v>0.69805578079565367</v>
      </c>
      <c r="S142" s="578">
        <f t="shared" si="44"/>
        <v>88.752806415447395</v>
      </c>
    </row>
    <row r="143" spans="1:19" ht="15.75" x14ac:dyDescent="0.25">
      <c r="A143" s="129">
        <f t="shared" si="45"/>
        <v>100032</v>
      </c>
      <c r="B143" s="95" t="s">
        <v>95</v>
      </c>
      <c r="C143" s="245">
        <v>4000</v>
      </c>
      <c r="D143" s="577">
        <v>6.3128234652961154E-3</v>
      </c>
      <c r="E143" s="633">
        <v>10</v>
      </c>
      <c r="F143" s="34" t="s">
        <v>234</v>
      </c>
      <c r="G143" s="605">
        <v>20</v>
      </c>
      <c r="H143" s="605">
        <v>21.5</v>
      </c>
      <c r="I143" s="612">
        <v>0.21</v>
      </c>
      <c r="J143" s="578">
        <f t="shared" si="36"/>
        <v>64722.7330140591</v>
      </c>
      <c r="K143" s="578">
        <f t="shared" si="37"/>
        <v>16.180683253514776</v>
      </c>
      <c r="L143" s="578">
        <f t="shared" si="38"/>
        <v>339.79434832381031</v>
      </c>
      <c r="M143" s="578">
        <f>+L142/2</f>
        <v>178.83913069674225</v>
      </c>
      <c r="N143" s="578">
        <f t="shared" si="40"/>
        <v>37.55621744631587</v>
      </c>
      <c r="O143" s="578">
        <f t="shared" si="41"/>
        <v>347.88468995056769</v>
      </c>
      <c r="P143" s="578">
        <f t="shared" si="35"/>
        <v>1359177.3932952413</v>
      </c>
      <c r="Q143" s="578">
        <f t="shared" si="42"/>
        <v>9.3890543615789674</v>
      </c>
      <c r="R143" s="658">
        <f t="shared" si="43"/>
        <v>1.9717014159315831</v>
      </c>
      <c r="S143" s="578">
        <f t="shared" si="44"/>
        <v>201.86466877394781</v>
      </c>
    </row>
    <row r="144" spans="1:19" ht="15.75" x14ac:dyDescent="0.25">
      <c r="A144" s="129">
        <f>+A143+1</f>
        <v>100033</v>
      </c>
      <c r="B144" s="96" t="s">
        <v>22</v>
      </c>
      <c r="C144" s="245">
        <v>1910</v>
      </c>
      <c r="D144" s="577">
        <v>9.0314908671449881E-2</v>
      </c>
      <c r="E144" s="633">
        <v>6.9000000000000006E-2</v>
      </c>
      <c r="F144" s="34" t="s">
        <v>216</v>
      </c>
      <c r="G144" s="605">
        <v>1.3800000000000001</v>
      </c>
      <c r="H144" s="605">
        <v>2.13</v>
      </c>
      <c r="I144" s="612">
        <v>1.2000000000000002E-2</v>
      </c>
      <c r="J144" s="578">
        <f t="shared" si="36"/>
        <v>925960.90374866675</v>
      </c>
      <c r="K144" s="578">
        <f t="shared" si="37"/>
        <v>484.79628468516586</v>
      </c>
      <c r="L144" s="578">
        <f t="shared" si="38"/>
        <v>10180.721978388483</v>
      </c>
      <c r="M144" s="578">
        <f t="shared" ref="M144:M147" si="51">+L144/20</f>
        <v>509.03609891942415</v>
      </c>
      <c r="N144" s="578">
        <f t="shared" si="40"/>
        <v>6.108433187033091</v>
      </c>
      <c r="O144" s="578">
        <f t="shared" si="41"/>
        <v>1032.6160863794032</v>
      </c>
      <c r="P144" s="578">
        <f t="shared" si="35"/>
        <v>19445178.978722002</v>
      </c>
      <c r="Q144" s="578">
        <f t="shared" si="42"/>
        <v>1.5271082967582728</v>
      </c>
      <c r="R144" s="658">
        <f t="shared" si="43"/>
        <v>1.8325299561099274E-2</v>
      </c>
      <c r="S144" s="578">
        <f t="shared" si="44"/>
        <v>3.2527406720951206</v>
      </c>
    </row>
    <row r="145" spans="1:19" ht="15.75" x14ac:dyDescent="0.25">
      <c r="A145" s="129">
        <f t="shared" si="45"/>
        <v>100034</v>
      </c>
      <c r="B145" s="97" t="s">
        <v>23</v>
      </c>
      <c r="C145" s="245">
        <v>2170</v>
      </c>
      <c r="D145" s="577">
        <v>8.426193680204401E-2</v>
      </c>
      <c r="E145" s="633">
        <v>7.1999999999999995E-2</v>
      </c>
      <c r="F145" s="34" t="s">
        <v>216</v>
      </c>
      <c r="G145" s="605">
        <v>1.44</v>
      </c>
      <c r="H145" s="605">
        <v>2.19</v>
      </c>
      <c r="I145" s="612">
        <v>1.2000000000000002E-2</v>
      </c>
      <c r="J145" s="578">
        <f t="shared" si="36"/>
        <v>863902.32023229881</v>
      </c>
      <c r="K145" s="578">
        <f t="shared" si="37"/>
        <v>398.11166830981512</v>
      </c>
      <c r="L145" s="578">
        <f t="shared" si="38"/>
        <v>8360.3450345061174</v>
      </c>
      <c r="M145" s="578">
        <f t="shared" si="51"/>
        <v>418.01725172530587</v>
      </c>
      <c r="N145" s="578">
        <f t="shared" si="40"/>
        <v>5.0162070207036713</v>
      </c>
      <c r="O145" s="578">
        <f t="shared" si="41"/>
        <v>871.86455359849504</v>
      </c>
      <c r="P145" s="578">
        <f t="shared" si="35"/>
        <v>18141948.724878274</v>
      </c>
      <c r="Q145" s="578">
        <f t="shared" si="42"/>
        <v>1.2540517551759178</v>
      </c>
      <c r="R145" s="658">
        <f t="shared" si="43"/>
        <v>1.5048621062111016E-2</v>
      </c>
      <c r="S145" s="578">
        <f t="shared" si="44"/>
        <v>2.74637334383526</v>
      </c>
    </row>
    <row r="146" spans="1:19" ht="15.75" x14ac:dyDescent="0.25">
      <c r="A146" s="129">
        <f t="shared" si="45"/>
        <v>100035</v>
      </c>
      <c r="B146" s="97" t="s">
        <v>24</v>
      </c>
      <c r="C146" s="245">
        <v>1670</v>
      </c>
      <c r="D146" s="577">
        <v>6.7433738076879732E-2</v>
      </c>
      <c r="E146" s="633">
        <v>4.8000000000000001E-2</v>
      </c>
      <c r="F146" s="34" t="s">
        <v>227</v>
      </c>
      <c r="G146" s="605">
        <v>0.86399999999999999</v>
      </c>
      <c r="H146" s="605">
        <v>1.8639999999999999</v>
      </c>
      <c r="I146" s="612">
        <v>0.03</v>
      </c>
      <c r="J146" s="578">
        <f t="shared" si="36"/>
        <v>691369.85212450463</v>
      </c>
      <c r="K146" s="578">
        <f t="shared" si="37"/>
        <v>413.99392342784711</v>
      </c>
      <c r="L146" s="578">
        <f t="shared" si="38"/>
        <v>8693.8723919847889</v>
      </c>
      <c r="M146" s="578">
        <f>+L146/18</f>
        <v>482.99291066582163</v>
      </c>
      <c r="N146" s="578">
        <f t="shared" si="40"/>
        <v>14.489787319974647</v>
      </c>
      <c r="O146" s="578">
        <f t="shared" si="41"/>
        <v>771.6846732695069</v>
      </c>
      <c r="P146" s="578">
        <f t="shared" si="35"/>
        <v>14518766.894614598</v>
      </c>
      <c r="Q146" s="578">
        <f t="shared" si="42"/>
        <v>3.6224468299936619</v>
      </c>
      <c r="R146" s="658">
        <f t="shared" si="43"/>
        <v>0.10867340489980985</v>
      </c>
      <c r="S146" s="578">
        <f t="shared" si="44"/>
        <v>6.752240891108185</v>
      </c>
    </row>
    <row r="147" spans="1:19" ht="15.75" x14ac:dyDescent="0.25">
      <c r="A147" s="129">
        <f t="shared" si="45"/>
        <v>100036</v>
      </c>
      <c r="B147" s="97" t="s">
        <v>25</v>
      </c>
      <c r="C147" s="245">
        <v>1020</v>
      </c>
      <c r="D147" s="577">
        <v>3.3307666560733154E-2</v>
      </c>
      <c r="E147" s="633">
        <v>6.5000000000000002E-2</v>
      </c>
      <c r="F147" s="34" t="s">
        <v>216</v>
      </c>
      <c r="G147" s="605">
        <v>1.3</v>
      </c>
      <c r="H147" s="605">
        <v>2.0499999999999998</v>
      </c>
      <c r="I147" s="612">
        <v>1.2000000000000002E-2</v>
      </c>
      <c r="J147" s="578">
        <f t="shared" si="36"/>
        <v>341489.54457267019</v>
      </c>
      <c r="K147" s="578">
        <f t="shared" si="37"/>
        <v>334.79367114967664</v>
      </c>
      <c r="L147" s="578">
        <f t="shared" si="38"/>
        <v>7030.6670941432094</v>
      </c>
      <c r="M147" s="578">
        <f t="shared" si="51"/>
        <v>351.53335470716047</v>
      </c>
      <c r="N147" s="578">
        <f t="shared" si="40"/>
        <v>4.2184002564859266</v>
      </c>
      <c r="O147" s="578">
        <f t="shared" si="41"/>
        <v>686.32702585683705</v>
      </c>
      <c r="P147" s="578">
        <f t="shared" si="35"/>
        <v>7171280.436026074</v>
      </c>
      <c r="Q147" s="578">
        <f t="shared" si="42"/>
        <v>1.0546000641214817</v>
      </c>
      <c r="R147" s="658">
        <f t="shared" si="43"/>
        <v>1.2655200769457782E-2</v>
      </c>
      <c r="S147" s="578">
        <f t="shared" si="44"/>
        <v>2.1619301314490373</v>
      </c>
    </row>
    <row r="148" spans="1:19" ht="15.75" x14ac:dyDescent="0.25">
      <c r="A148" s="129">
        <f t="shared" si="45"/>
        <v>100037</v>
      </c>
      <c r="B148" s="97" t="s">
        <v>26</v>
      </c>
      <c r="C148" s="245">
        <v>1430</v>
      </c>
      <c r="D148" s="577">
        <v>3.6844741548338569E-2</v>
      </c>
      <c r="E148" s="633">
        <v>8.5999999999999993E-2</v>
      </c>
      <c r="F148" s="34" t="s">
        <v>214</v>
      </c>
      <c r="G148" s="605">
        <v>1.032</v>
      </c>
      <c r="H148" s="605">
        <v>1.782</v>
      </c>
      <c r="I148" s="612">
        <v>1.2000000000000002E-2</v>
      </c>
      <c r="J148" s="578">
        <f t="shared" si="36"/>
        <v>377753.6918804475</v>
      </c>
      <c r="K148" s="578">
        <f t="shared" si="37"/>
        <v>264.16342089541786</v>
      </c>
      <c r="L148" s="578">
        <f t="shared" si="38"/>
        <v>5547.4318388037755</v>
      </c>
      <c r="M148" s="578">
        <f>+L148/12</f>
        <v>462.28598656698131</v>
      </c>
      <c r="N148" s="578">
        <f t="shared" si="40"/>
        <v>5.5474318388037762</v>
      </c>
      <c r="O148" s="578">
        <f t="shared" si="41"/>
        <v>470.73921603563463</v>
      </c>
      <c r="P148" s="578">
        <f t="shared" si="35"/>
        <v>7932827.5294893989</v>
      </c>
      <c r="Q148" s="578">
        <f t="shared" si="42"/>
        <v>1.3868579597009441</v>
      </c>
      <c r="R148" s="658">
        <f t="shared" si="43"/>
        <v>1.6642295516411332E-2</v>
      </c>
      <c r="S148" s="578">
        <f t="shared" si="44"/>
        <v>2.4713808841870821</v>
      </c>
    </row>
    <row r="149" spans="1:19" ht="15.75" x14ac:dyDescent="0.25">
      <c r="A149" s="129">
        <f t="shared" si="45"/>
        <v>100038</v>
      </c>
      <c r="B149" s="97" t="s">
        <v>27</v>
      </c>
      <c r="C149" s="245">
        <v>13260</v>
      </c>
      <c r="D149" s="577">
        <v>3.0684977748644777E-2</v>
      </c>
      <c r="E149" s="633">
        <v>0.53500000000000003</v>
      </c>
      <c r="F149" s="34" t="s">
        <v>213</v>
      </c>
      <c r="G149" s="605">
        <v>12.84</v>
      </c>
      <c r="H149" s="605">
        <v>14.34</v>
      </c>
      <c r="I149" s="612">
        <v>0.21</v>
      </c>
      <c r="J149" s="578">
        <f t="shared" si="36"/>
        <v>314600.21546392509</v>
      </c>
      <c r="K149" s="578">
        <f t="shared" si="37"/>
        <v>23.725506445243219</v>
      </c>
      <c r="L149" s="578">
        <f t="shared" si="38"/>
        <v>498.2356353501076</v>
      </c>
      <c r="M149" s="578">
        <f>+L149/24</f>
        <v>20.759818139587818</v>
      </c>
      <c r="N149" s="578">
        <f t="shared" si="40"/>
        <v>4.3595618093134414</v>
      </c>
      <c r="O149" s="578">
        <f t="shared" si="41"/>
        <v>340.22376242478776</v>
      </c>
      <c r="P149" s="578">
        <f t="shared" si="35"/>
        <v>6606604.5247424264</v>
      </c>
      <c r="Q149" s="578">
        <f t="shared" si="42"/>
        <v>1.0898904523283603</v>
      </c>
      <c r="R149" s="658">
        <f t="shared" si="43"/>
        <v>0.22887699498895567</v>
      </c>
      <c r="S149" s="578">
        <f t="shared" si="44"/>
        <v>15.629029086388687</v>
      </c>
    </row>
    <row r="150" spans="1:19" ht="15.75" x14ac:dyDescent="0.25">
      <c r="A150" s="129">
        <f t="shared" si="45"/>
        <v>100039</v>
      </c>
      <c r="B150" s="97" t="s">
        <v>28</v>
      </c>
      <c r="C150" s="245">
        <v>2840</v>
      </c>
      <c r="D150" s="577">
        <v>1.7045228335214935E-2</v>
      </c>
      <c r="E150" s="633">
        <v>9.2999999999999999E-2</v>
      </c>
      <c r="F150" s="34" t="s">
        <v>228</v>
      </c>
      <c r="G150" s="605">
        <v>4.4640000000000004</v>
      </c>
      <c r="H150" s="605">
        <v>5.9640000000000004</v>
      </c>
      <c r="I150" s="612">
        <v>0.21</v>
      </c>
      <c r="J150" s="578">
        <f t="shared" si="36"/>
        <v>174757.58173320672</v>
      </c>
      <c r="K150" s="578">
        <f t="shared" si="37"/>
        <v>61.534359765213637</v>
      </c>
      <c r="L150" s="578">
        <f t="shared" si="38"/>
        <v>1292.2215550694864</v>
      </c>
      <c r="M150" s="578">
        <f>+L150/48</f>
        <v>26.921282397280965</v>
      </c>
      <c r="N150" s="578">
        <f t="shared" si="40"/>
        <v>5.6534693034290022</v>
      </c>
      <c r="O150" s="578">
        <f t="shared" si="41"/>
        <v>366.99092163973415</v>
      </c>
      <c r="P150" s="578">
        <f t="shared" si="35"/>
        <v>3669909.2163973413</v>
      </c>
      <c r="Q150" s="578">
        <f t="shared" si="42"/>
        <v>1.4133673258572506</v>
      </c>
      <c r="R150" s="658">
        <f t="shared" si="43"/>
        <v>0.2968071384300226</v>
      </c>
      <c r="S150" s="578">
        <f t="shared" si="44"/>
        <v>8.4293227314126433</v>
      </c>
    </row>
    <row r="151" spans="1:19" ht="15.75" x14ac:dyDescent="0.25">
      <c r="A151" s="129">
        <f t="shared" si="45"/>
        <v>100040</v>
      </c>
      <c r="B151" s="97" t="s">
        <v>29</v>
      </c>
      <c r="C151" s="245">
        <v>3800</v>
      </c>
      <c r="D151" s="577">
        <v>1.5376328238439485E-2</v>
      </c>
      <c r="E151" s="633">
        <v>0.05</v>
      </c>
      <c r="F151" s="34" t="s">
        <v>222</v>
      </c>
      <c r="G151" s="605">
        <v>5</v>
      </c>
      <c r="H151" s="605">
        <v>6.5</v>
      </c>
      <c r="I151" s="612">
        <v>0.21</v>
      </c>
      <c r="J151" s="578">
        <f t="shared" si="36"/>
        <v>157647.04854872331</v>
      </c>
      <c r="K151" s="578">
        <f t="shared" si="37"/>
        <v>41.486065407558769</v>
      </c>
      <c r="L151" s="578">
        <f t="shared" si="38"/>
        <v>871.20737355873416</v>
      </c>
      <c r="M151" s="578">
        <f>+L151/100</f>
        <v>8.7120737355873423</v>
      </c>
      <c r="N151" s="578">
        <f t="shared" si="40"/>
        <v>1.8295354844733418</v>
      </c>
      <c r="O151" s="578">
        <f t="shared" si="41"/>
        <v>269.65942514913201</v>
      </c>
      <c r="P151" s="578">
        <f t="shared" si="35"/>
        <v>3310588.0195231899</v>
      </c>
      <c r="Q151" s="578">
        <f t="shared" si="42"/>
        <v>0.45738387111833545</v>
      </c>
      <c r="R151" s="658">
        <f t="shared" si="43"/>
        <v>9.6050612934850441E-2</v>
      </c>
      <c r="S151" s="578">
        <f t="shared" si="44"/>
        <v>2.9729951622691804</v>
      </c>
    </row>
    <row r="152" spans="1:19" x14ac:dyDescent="0.25">
      <c r="A152" s="129">
        <f>+A151+1</f>
        <v>100041</v>
      </c>
      <c r="B152" s="97" t="s">
        <v>106</v>
      </c>
      <c r="C152" s="247">
        <v>3440</v>
      </c>
      <c r="D152" s="577">
        <v>1.739718356852692E-2</v>
      </c>
      <c r="E152" s="635">
        <v>0.4</v>
      </c>
      <c r="F152" s="38" t="s">
        <v>213</v>
      </c>
      <c r="G152" s="606">
        <v>9.6000000000000014</v>
      </c>
      <c r="H152" s="606">
        <v>11.100000000000001</v>
      </c>
      <c r="I152" s="613">
        <v>0.21</v>
      </c>
      <c r="J152" s="578">
        <f t="shared" si="36"/>
        <v>178366.03122079017</v>
      </c>
      <c r="K152" s="578">
        <f t="shared" si="37"/>
        <v>51.850590471159933</v>
      </c>
      <c r="L152" s="578">
        <f t="shared" si="38"/>
        <v>1088.8623998943585</v>
      </c>
      <c r="M152" s="578">
        <f>+L152/44</f>
        <v>24.746872724871785</v>
      </c>
      <c r="N152" s="578">
        <f t="shared" si="40"/>
        <v>5.1968432722230746</v>
      </c>
      <c r="O152" s="578">
        <f t="shared" si="41"/>
        <v>575.54155422987537</v>
      </c>
      <c r="P152" s="578">
        <f t="shared" si="35"/>
        <v>3745686.6556365932</v>
      </c>
      <c r="Q152" s="578">
        <f t="shared" si="42"/>
        <v>1.2992108180557687</v>
      </c>
      <c r="R152" s="658">
        <f t="shared" si="43"/>
        <v>0.27283427179171138</v>
      </c>
      <c r="S152" s="578">
        <f t="shared" si="44"/>
        <v>14.421240080419034</v>
      </c>
    </row>
    <row r="153" spans="1:19" x14ac:dyDescent="0.25">
      <c r="A153" s="129">
        <f t="shared" si="45"/>
        <v>100042</v>
      </c>
      <c r="B153" s="97" t="s">
        <v>106</v>
      </c>
      <c r="C153" s="247">
        <v>2060</v>
      </c>
      <c r="D153" s="577">
        <v>2.0415136022876802E-2</v>
      </c>
      <c r="E153" s="635">
        <v>0.2</v>
      </c>
      <c r="F153" s="38" t="s">
        <v>228</v>
      </c>
      <c r="G153" s="606">
        <v>9.6000000000000014</v>
      </c>
      <c r="H153" s="606">
        <v>11.100000000000001</v>
      </c>
      <c r="I153" s="613">
        <v>0.21</v>
      </c>
      <c r="J153" s="578">
        <f t="shared" si="36"/>
        <v>209307.83278166267</v>
      </c>
      <c r="K153" s="578">
        <f t="shared" si="37"/>
        <v>101.60574406876829</v>
      </c>
      <c r="L153" s="578">
        <f t="shared" si="38"/>
        <v>2133.7206254441339</v>
      </c>
      <c r="M153" s="578">
        <f>+L153/48</f>
        <v>44.452513030086124</v>
      </c>
      <c r="N153" s="578">
        <f t="shared" si="40"/>
        <v>9.3350277363180858</v>
      </c>
      <c r="O153" s="578">
        <f t="shared" si="41"/>
        <v>1127.8237591633281</v>
      </c>
      <c r="P153" s="578">
        <f t="shared" si="35"/>
        <v>4395464.4884149162</v>
      </c>
      <c r="Q153" s="578">
        <f t="shared" si="42"/>
        <v>2.3337569340795215</v>
      </c>
      <c r="R153" s="658">
        <f t="shared" si="43"/>
        <v>0.49008895615669951</v>
      </c>
      <c r="S153" s="578">
        <f t="shared" si="44"/>
        <v>25.904701968282691</v>
      </c>
    </row>
    <row r="154" spans="1:19" x14ac:dyDescent="0.25">
      <c r="A154" s="129">
        <f t="shared" si="45"/>
        <v>100043</v>
      </c>
      <c r="B154" s="97" t="s">
        <v>112</v>
      </c>
      <c r="C154" s="247">
        <v>2810</v>
      </c>
      <c r="D154" s="577">
        <v>1.0509866680215489E-2</v>
      </c>
      <c r="E154" s="635">
        <v>0.2</v>
      </c>
      <c r="F154" s="38" t="s">
        <v>228</v>
      </c>
      <c r="G154" s="606">
        <v>9.6000000000000014</v>
      </c>
      <c r="H154" s="606">
        <v>11.100000000000001</v>
      </c>
      <c r="I154" s="613">
        <v>0.21</v>
      </c>
      <c r="J154" s="578">
        <f t="shared" si="36"/>
        <v>107753.25793543877</v>
      </c>
      <c r="K154" s="578">
        <f t="shared" si="37"/>
        <v>38.346355137166825</v>
      </c>
      <c r="L154" s="578">
        <f t="shared" si="38"/>
        <v>805.27345788050332</v>
      </c>
      <c r="M154" s="578">
        <f>+L154/48</f>
        <v>16.776530372510486</v>
      </c>
      <c r="N154" s="578">
        <f t="shared" si="40"/>
        <v>3.5230713782272018</v>
      </c>
      <c r="O154" s="578">
        <f t="shared" si="41"/>
        <v>425.64454202255183</v>
      </c>
      <c r="P154" s="578">
        <f t="shared" si="35"/>
        <v>2262818.4166442142</v>
      </c>
      <c r="Q154" s="578">
        <f t="shared" si="42"/>
        <v>0.88076784455680046</v>
      </c>
      <c r="R154" s="658">
        <f t="shared" si="43"/>
        <v>0.18496124735692809</v>
      </c>
      <c r="S154" s="578">
        <f t="shared" si="44"/>
        <v>9.7765230745804867</v>
      </c>
    </row>
    <row r="155" spans="1:19" x14ac:dyDescent="0.25">
      <c r="A155" s="129">
        <f t="shared" si="45"/>
        <v>100044</v>
      </c>
      <c r="B155" s="97" t="s">
        <v>113</v>
      </c>
      <c r="C155" s="247">
        <v>4140</v>
      </c>
      <c r="D155" s="577">
        <v>8.5867846919207482E-3</v>
      </c>
      <c r="E155" s="635">
        <v>0.38</v>
      </c>
      <c r="F155" s="38" t="s">
        <v>213</v>
      </c>
      <c r="G155" s="606">
        <v>9.120000000000001</v>
      </c>
      <c r="H155" s="606">
        <v>10.620000000000001</v>
      </c>
      <c r="I155" s="613">
        <v>0.21</v>
      </c>
      <c r="J155" s="578">
        <f t="shared" si="36"/>
        <v>88036.70435576282</v>
      </c>
      <c r="K155" s="578">
        <f t="shared" si="37"/>
        <v>21.264904433759135</v>
      </c>
      <c r="L155" s="578">
        <f t="shared" si="38"/>
        <v>446.56299310894184</v>
      </c>
      <c r="M155" s="578">
        <f>+L155/24</f>
        <v>18.606791379539242</v>
      </c>
      <c r="N155" s="578">
        <f t="shared" si="40"/>
        <v>3.9074261897032407</v>
      </c>
      <c r="O155" s="578">
        <f t="shared" si="41"/>
        <v>225.83328508652204</v>
      </c>
      <c r="P155" s="578">
        <f t="shared" si="35"/>
        <v>1848770.7914710192</v>
      </c>
      <c r="Q155" s="578">
        <f t="shared" si="42"/>
        <v>0.97685654742581018</v>
      </c>
      <c r="R155" s="658">
        <f t="shared" si="43"/>
        <v>0.20513987495942013</v>
      </c>
      <c r="S155" s="578">
        <f t="shared" si="44"/>
        <v>10.374216533662105</v>
      </c>
    </row>
    <row r="156" spans="1:19" x14ac:dyDescent="0.25">
      <c r="A156" s="129">
        <f t="shared" si="45"/>
        <v>100045</v>
      </c>
      <c r="B156" s="97" t="s">
        <v>116</v>
      </c>
      <c r="C156" s="247">
        <v>2150</v>
      </c>
      <c r="D156" s="577">
        <v>9.3749231666469882E-3</v>
      </c>
      <c r="E156" s="635">
        <v>0.2</v>
      </c>
      <c r="F156" s="38" t="s">
        <v>228</v>
      </c>
      <c r="G156" s="606">
        <v>9.6000000000000014</v>
      </c>
      <c r="H156" s="606">
        <v>11.100000000000001</v>
      </c>
      <c r="I156" s="613">
        <v>0.21</v>
      </c>
      <c r="J156" s="578">
        <f t="shared" si="36"/>
        <v>96117.157794424202</v>
      </c>
      <c r="K156" s="578">
        <f t="shared" si="37"/>
        <v>44.705654788104283</v>
      </c>
      <c r="L156" s="578">
        <f t="shared" si="38"/>
        <v>938.81875055018998</v>
      </c>
      <c r="M156" s="578">
        <f t="shared" ref="M156:M157" si="52">+L156/48</f>
        <v>19.558723969795626</v>
      </c>
      <c r="N156" s="578">
        <f t="shared" si="40"/>
        <v>4.1073320336570811</v>
      </c>
      <c r="O156" s="578">
        <f t="shared" si="41"/>
        <v>496.23276814795759</v>
      </c>
      <c r="P156" s="578">
        <f t="shared" si="35"/>
        <v>2018460.3136829084</v>
      </c>
      <c r="Q156" s="578">
        <f t="shared" si="42"/>
        <v>1.0268330084142703</v>
      </c>
      <c r="R156" s="658">
        <f t="shared" si="43"/>
        <v>0.21563493176699675</v>
      </c>
      <c r="S156" s="578">
        <f t="shared" si="44"/>
        <v>11.397846393398401</v>
      </c>
    </row>
    <row r="157" spans="1:19" x14ac:dyDescent="0.25">
      <c r="A157" s="129">
        <f t="shared" si="45"/>
        <v>100046</v>
      </c>
      <c r="B157" s="97" t="s">
        <v>118</v>
      </c>
      <c r="C157" s="247">
        <v>2150</v>
      </c>
      <c r="D157" s="577">
        <v>7.5557000599249403E-3</v>
      </c>
      <c r="E157" s="635">
        <v>0.2</v>
      </c>
      <c r="F157" s="38" t="s">
        <v>228</v>
      </c>
      <c r="G157" s="606">
        <v>9.6000000000000014</v>
      </c>
      <c r="H157" s="606">
        <v>11.100000000000001</v>
      </c>
      <c r="I157" s="613">
        <v>0.21</v>
      </c>
      <c r="J157" s="578">
        <f t="shared" si="36"/>
        <v>77465.425795792238</v>
      </c>
      <c r="K157" s="578">
        <f t="shared" si="37"/>
        <v>36.030430602694061</v>
      </c>
      <c r="L157" s="578">
        <f t="shared" si="38"/>
        <v>756.63904265657527</v>
      </c>
      <c r="M157" s="578">
        <f t="shared" si="52"/>
        <v>15.763313388678652</v>
      </c>
      <c r="N157" s="578">
        <f t="shared" si="40"/>
        <v>3.3102958116225167</v>
      </c>
      <c r="O157" s="578">
        <f t="shared" si="41"/>
        <v>399.93777968990412</v>
      </c>
      <c r="P157" s="578">
        <f t="shared" si="35"/>
        <v>1626773.9417116367</v>
      </c>
      <c r="Q157" s="578">
        <f t="shared" si="42"/>
        <v>0.82757395290562918</v>
      </c>
      <c r="R157" s="658">
        <f t="shared" si="43"/>
        <v>0.17379053011018211</v>
      </c>
      <c r="S157" s="578">
        <f t="shared" si="44"/>
        <v>9.1860708772524848</v>
      </c>
    </row>
    <row r="158" spans="1:19" x14ac:dyDescent="0.25">
      <c r="A158" s="129">
        <f t="shared" si="45"/>
        <v>100047</v>
      </c>
      <c r="B158" s="97" t="s">
        <v>119</v>
      </c>
      <c r="C158" s="247">
        <v>4080</v>
      </c>
      <c r="D158" s="577">
        <v>5.4631034090536846E-3</v>
      </c>
      <c r="E158" s="635">
        <v>0.32500000000000001</v>
      </c>
      <c r="F158" s="40" t="s">
        <v>214</v>
      </c>
      <c r="G158" s="606">
        <v>3.9000000000000004</v>
      </c>
      <c r="H158" s="606">
        <v>5.4</v>
      </c>
      <c r="I158" s="613">
        <v>0.21</v>
      </c>
      <c r="J158" s="578">
        <f t="shared" si="36"/>
        <v>56010.909431599641</v>
      </c>
      <c r="K158" s="578">
        <f t="shared" si="37"/>
        <v>13.728164076372462</v>
      </c>
      <c r="L158" s="578">
        <f t="shared" si="38"/>
        <v>288.29144560382167</v>
      </c>
      <c r="M158" s="578">
        <f>+L158/12</f>
        <v>24.024287133651807</v>
      </c>
      <c r="N158" s="578">
        <f t="shared" si="40"/>
        <v>5.0451002980668793</v>
      </c>
      <c r="O158" s="578">
        <f t="shared" si="41"/>
        <v>74.132086012411293</v>
      </c>
      <c r="P158" s="578">
        <f t="shared" si="35"/>
        <v>1176229.0980635923</v>
      </c>
      <c r="Q158" s="578">
        <f t="shared" si="42"/>
        <v>1.2612750745167198</v>
      </c>
      <c r="R158" s="658">
        <f t="shared" si="43"/>
        <v>0.26486776564851117</v>
      </c>
      <c r="S158" s="578">
        <f t="shared" si="44"/>
        <v>6.8108854023902872</v>
      </c>
    </row>
    <row r="159" spans="1:19" ht="15.75" thickBot="1" x14ac:dyDescent="0.3">
      <c r="A159" s="130">
        <f t="shared" si="45"/>
        <v>100048</v>
      </c>
      <c r="B159" s="98" t="s">
        <v>122</v>
      </c>
      <c r="C159" s="249">
        <v>5560</v>
      </c>
      <c r="D159" s="577">
        <v>5.9928601495696839E-3</v>
      </c>
      <c r="E159" s="635">
        <v>0.45</v>
      </c>
      <c r="F159" s="40" t="s">
        <v>214</v>
      </c>
      <c r="G159" s="606">
        <v>5.4</v>
      </c>
      <c r="H159" s="606">
        <v>6.9</v>
      </c>
      <c r="I159" s="613">
        <v>0.21</v>
      </c>
      <c r="J159" s="578">
        <f t="shared" si="36"/>
        <v>61442.283248292755</v>
      </c>
      <c r="K159" s="578">
        <f t="shared" si="37"/>
        <v>11.050770368397977</v>
      </c>
      <c r="L159" s="578">
        <f t="shared" si="38"/>
        <v>232.06617773635753</v>
      </c>
      <c r="M159" s="578">
        <f>+L159/12</f>
        <v>19.33884814469646</v>
      </c>
      <c r="N159" s="578">
        <f t="shared" si="40"/>
        <v>4.0611581103862564</v>
      </c>
      <c r="O159" s="578">
        <f t="shared" si="41"/>
        <v>76.250315541946051</v>
      </c>
      <c r="P159" s="578">
        <f t="shared" si="35"/>
        <v>1290287.9482141479</v>
      </c>
      <c r="Q159" s="578">
        <f t="shared" si="42"/>
        <v>1.0152895275965641</v>
      </c>
      <c r="R159" s="658">
        <f t="shared" si="43"/>
        <v>0.21321080079527846</v>
      </c>
      <c r="S159" s="578">
        <f t="shared" si="44"/>
        <v>7.0054977404162928</v>
      </c>
    </row>
    <row r="160" spans="1:19" x14ac:dyDescent="0.25">
      <c r="A160" s="57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N160" s="2"/>
      <c r="O160" s="2"/>
      <c r="P160" s="573"/>
      <c r="R160" s="660">
        <f>SUM(R112:R159)</f>
        <v>44.088814849050074</v>
      </c>
    </row>
    <row r="161" spans="1:23" ht="15.75" thickBot="1" x14ac:dyDescent="0.3">
      <c r="A161" s="574"/>
      <c r="B161" s="575"/>
      <c r="C161" s="575"/>
      <c r="D161" s="575"/>
      <c r="E161" s="575"/>
      <c r="F161" s="575"/>
      <c r="G161" s="575"/>
      <c r="H161" s="575"/>
      <c r="I161" s="575"/>
      <c r="J161" s="575"/>
      <c r="K161" s="575"/>
      <c r="L161" s="575"/>
      <c r="N161" s="575"/>
      <c r="O161" s="575"/>
      <c r="P161" s="576">
        <f>SUM(P112:P160)</f>
        <v>215304197.99747816</v>
      </c>
      <c r="R161" s="662">
        <f>+R160/21</f>
        <v>2.099467373764289</v>
      </c>
    </row>
    <row r="163" spans="1:23" ht="19.5" thickBot="1" x14ac:dyDescent="0.35">
      <c r="A163" s="842" t="s">
        <v>189</v>
      </c>
      <c r="B163" s="842"/>
      <c r="C163" s="842"/>
      <c r="D163" s="842"/>
      <c r="E163" s="842"/>
      <c r="F163" s="842"/>
      <c r="G163" s="842"/>
      <c r="H163" s="842"/>
      <c r="O163" s="364"/>
    </row>
    <row r="164" spans="1:23" ht="18.75" x14ac:dyDescent="0.3">
      <c r="A164" s="566"/>
      <c r="B164" s="844" t="s">
        <v>199</v>
      </c>
      <c r="C164" s="844"/>
      <c r="D164" s="844"/>
      <c r="E164" s="567">
        <f>+'1-CLIENTE-RED-ENDEUDAMIEN'!H136</f>
        <v>14311027.947359398</v>
      </c>
      <c r="F164" s="568"/>
      <c r="G164" s="568"/>
      <c r="H164" s="569"/>
      <c r="O164" s="364"/>
    </row>
    <row r="165" spans="1:23" ht="75" x14ac:dyDescent="0.25">
      <c r="A165" s="638" t="s">
        <v>31</v>
      </c>
      <c r="B165" s="5" t="s">
        <v>2</v>
      </c>
      <c r="C165" s="5" t="s">
        <v>191</v>
      </c>
      <c r="D165" s="5" t="s">
        <v>192</v>
      </c>
      <c r="E165" s="5" t="s">
        <v>193</v>
      </c>
      <c r="F165" s="5" t="s">
        <v>200</v>
      </c>
      <c r="G165" s="5" t="s">
        <v>201</v>
      </c>
      <c r="H165" s="639" t="s">
        <v>202</v>
      </c>
      <c r="I165" s="5" t="s">
        <v>235</v>
      </c>
      <c r="J165" s="5" t="s">
        <v>209</v>
      </c>
      <c r="K165" s="5" t="s">
        <v>237</v>
      </c>
      <c r="L165" s="5" t="s">
        <v>239</v>
      </c>
      <c r="M165" s="5" t="s">
        <v>238</v>
      </c>
      <c r="N165" s="650" t="s">
        <v>193</v>
      </c>
      <c r="O165" s="650" t="s">
        <v>285</v>
      </c>
      <c r="P165" s="650" t="s">
        <v>286</v>
      </c>
      <c r="Q165" s="650" t="s">
        <v>277</v>
      </c>
      <c r="R165" s="661" t="s">
        <v>284</v>
      </c>
      <c r="S165" s="650" t="s">
        <v>240</v>
      </c>
      <c r="T165" s="650" t="s">
        <v>287</v>
      </c>
      <c r="U165" s="650" t="s">
        <v>278</v>
      </c>
      <c r="V165" s="650" t="s">
        <v>279</v>
      </c>
      <c r="W165" s="650" t="s">
        <v>280</v>
      </c>
    </row>
    <row r="166" spans="1:23" ht="15.75" x14ac:dyDescent="0.25">
      <c r="A166" s="128">
        <v>100001</v>
      </c>
      <c r="B166" s="91" t="s">
        <v>15</v>
      </c>
      <c r="C166" s="103">
        <v>4910</v>
      </c>
      <c r="D166" s="577">
        <v>5.3518119941107528E-2</v>
      </c>
      <c r="E166" s="578">
        <f t="shared" ref="E166:E213" si="53">$E$164*D166</f>
        <v>765899.31016732217</v>
      </c>
      <c r="F166" s="578">
        <f t="shared" ref="F166:F213" si="54">E166/C166</f>
        <v>155.98763954527948</v>
      </c>
      <c r="G166" s="579">
        <f>F166*11</f>
        <v>1715.8640349980742</v>
      </c>
      <c r="H166" s="578">
        <f t="shared" ref="H166:H213" si="55">G166*C166</f>
        <v>8424892.411840545</v>
      </c>
      <c r="I166" s="623">
        <v>0.48</v>
      </c>
      <c r="J166" s="24" t="s">
        <v>216</v>
      </c>
      <c r="K166" s="600">
        <v>9.6</v>
      </c>
      <c r="L166" s="600">
        <v>11.1</v>
      </c>
      <c r="M166" s="607">
        <v>0.21</v>
      </c>
      <c r="N166" s="578">
        <f>$E$164*D166</f>
        <v>765899.31016732217</v>
      </c>
      <c r="O166" s="578">
        <f>N166/G166</f>
        <v>446.36363636363632</v>
      </c>
      <c r="P166" s="578">
        <f>O166*11</f>
        <v>4909.9999999999991</v>
      </c>
      <c r="Q166" s="578">
        <f>+P166/20</f>
        <v>245.49999999999994</v>
      </c>
      <c r="R166" s="658">
        <f>+Q166*M166</f>
        <v>51.554999999999986</v>
      </c>
      <c r="S166" s="578">
        <f>+O166*L166</f>
        <v>4954.6363636363631</v>
      </c>
      <c r="T166" s="578">
        <f>P166*C166</f>
        <v>24108099.999999996</v>
      </c>
      <c r="U166" s="578">
        <f>+Q166/4</f>
        <v>61.374999999999986</v>
      </c>
      <c r="V166" s="578">
        <f>+U166*M166</f>
        <v>12.888749999999996</v>
      </c>
      <c r="W166" s="578">
        <f>+U166*L166</f>
        <v>681.26249999999982</v>
      </c>
    </row>
    <row r="167" spans="1:23" ht="15.75" x14ac:dyDescent="0.25">
      <c r="A167" s="129">
        <f>+A166+1</f>
        <v>100002</v>
      </c>
      <c r="B167" s="92" t="s">
        <v>16</v>
      </c>
      <c r="C167" s="112">
        <v>4910</v>
      </c>
      <c r="D167" s="577">
        <v>3.7601368833857216E-2</v>
      </c>
      <c r="E167" s="578">
        <f t="shared" si="53"/>
        <v>538114.24024029926</v>
      </c>
      <c r="F167" s="578">
        <f t="shared" si="54"/>
        <v>109.5955682770467</v>
      </c>
      <c r="G167" s="578">
        <f t="shared" ref="G167:G213" si="56">F167*11</f>
        <v>1205.5512510475137</v>
      </c>
      <c r="H167" s="578">
        <f t="shared" si="55"/>
        <v>5919256.6426432924</v>
      </c>
      <c r="I167" s="623">
        <v>0.48</v>
      </c>
      <c r="J167" s="24" t="s">
        <v>216</v>
      </c>
      <c r="K167" s="600">
        <v>9.6</v>
      </c>
      <c r="L167" s="600">
        <v>11.1</v>
      </c>
      <c r="M167" s="607">
        <v>0.21</v>
      </c>
      <c r="N167" s="578">
        <f t="shared" ref="N167:N213" si="57">$E$164*D167</f>
        <v>538114.24024029926</v>
      </c>
      <c r="O167" s="578">
        <f t="shared" ref="O167:O213" si="58">N167/G167</f>
        <v>446.36363636363632</v>
      </c>
      <c r="P167" s="578">
        <f t="shared" ref="P167:P213" si="59">O167*11</f>
        <v>4909.9999999999991</v>
      </c>
      <c r="Q167" s="578">
        <f t="shared" ref="Q167:Q171" si="60">+P167/20</f>
        <v>245.49999999999994</v>
      </c>
      <c r="R167" s="658">
        <f t="shared" ref="R167:R213" si="61">+Q167*M167</f>
        <v>51.554999999999986</v>
      </c>
      <c r="S167" s="578">
        <f t="shared" ref="S167:S213" si="62">+O167*L167</f>
        <v>4954.6363636363631</v>
      </c>
      <c r="T167" s="578">
        <f t="shared" ref="T167:T213" si="63">P167*C167</f>
        <v>24108099.999999996</v>
      </c>
      <c r="U167" s="578">
        <f t="shared" ref="U167:U213" si="64">+Q167/4</f>
        <v>61.374999999999986</v>
      </c>
      <c r="V167" s="578">
        <f t="shared" ref="V167:V213" si="65">+U167*M167</f>
        <v>12.888749999999996</v>
      </c>
      <c r="W167" s="578">
        <f t="shared" ref="W167:W213" si="66">+U167*L167</f>
        <v>681.26249999999982</v>
      </c>
    </row>
    <row r="168" spans="1:23" ht="15.75" x14ac:dyDescent="0.25">
      <c r="A168" s="129">
        <f t="shared" ref="A168:A213" si="67">+A167+1</f>
        <v>100003</v>
      </c>
      <c r="B168" s="92" t="s">
        <v>17</v>
      </c>
      <c r="C168" s="112">
        <v>6000</v>
      </c>
      <c r="D168" s="577">
        <v>1.0959822872810982E-2</v>
      </c>
      <c r="E168" s="578">
        <f t="shared" si="53"/>
        <v>156846.33143090672</v>
      </c>
      <c r="F168" s="578">
        <f t="shared" si="54"/>
        <v>26.141055238484455</v>
      </c>
      <c r="G168" s="578">
        <f t="shared" si="56"/>
        <v>287.55160762332901</v>
      </c>
      <c r="H168" s="578">
        <f t="shared" si="55"/>
        <v>1725309.645739974</v>
      </c>
      <c r="I168" s="623">
        <v>0.36</v>
      </c>
      <c r="J168" s="24" t="s">
        <v>216</v>
      </c>
      <c r="K168" s="600">
        <v>7.1999999999999993</v>
      </c>
      <c r="L168" s="600">
        <v>8.6999999999999993</v>
      </c>
      <c r="M168" s="607">
        <v>0.21</v>
      </c>
      <c r="N168" s="578">
        <f t="shared" si="57"/>
        <v>156846.33143090672</v>
      </c>
      <c r="O168" s="578">
        <f t="shared" si="58"/>
        <v>545.45454545454538</v>
      </c>
      <c r="P168" s="578">
        <f t="shared" si="59"/>
        <v>5999.9999999999991</v>
      </c>
      <c r="Q168" s="578">
        <f t="shared" si="60"/>
        <v>299.99999999999994</v>
      </c>
      <c r="R168" s="658">
        <f t="shared" si="61"/>
        <v>62.999999999999986</v>
      </c>
      <c r="S168" s="578">
        <f t="shared" si="62"/>
        <v>4745.4545454545441</v>
      </c>
      <c r="T168" s="578">
        <f t="shared" si="63"/>
        <v>35999999.999999993</v>
      </c>
      <c r="U168" s="578">
        <f t="shared" si="64"/>
        <v>74.999999999999986</v>
      </c>
      <c r="V168" s="578">
        <f t="shared" si="65"/>
        <v>15.749999999999996</v>
      </c>
      <c r="W168" s="578">
        <f t="shared" si="66"/>
        <v>652.49999999999977</v>
      </c>
    </row>
    <row r="169" spans="1:23" ht="15.75" x14ac:dyDescent="0.25">
      <c r="A169" s="129">
        <f t="shared" si="67"/>
        <v>100004</v>
      </c>
      <c r="B169" s="92" t="s">
        <v>18</v>
      </c>
      <c r="C169" s="112">
        <v>5130</v>
      </c>
      <c r="D169" s="577">
        <v>2.0869862636506389E-2</v>
      </c>
      <c r="E169" s="578">
        <f t="shared" si="53"/>
        <v>298669.1874485946</v>
      </c>
      <c r="F169" s="578">
        <f t="shared" si="54"/>
        <v>58.220114512396606</v>
      </c>
      <c r="G169" s="578">
        <f t="shared" si="56"/>
        <v>640.42125963636272</v>
      </c>
      <c r="H169" s="578">
        <f t="shared" si="55"/>
        <v>3285361.061934541</v>
      </c>
      <c r="I169" s="623">
        <v>0.4</v>
      </c>
      <c r="J169" s="24" t="s">
        <v>216</v>
      </c>
      <c r="K169" s="600">
        <v>8</v>
      </c>
      <c r="L169" s="600">
        <v>9.5</v>
      </c>
      <c r="M169" s="607">
        <v>0.21</v>
      </c>
      <c r="N169" s="578">
        <f t="shared" si="57"/>
        <v>298669.1874485946</v>
      </c>
      <c r="O169" s="578">
        <f t="shared" si="58"/>
        <v>466.36363636363637</v>
      </c>
      <c r="P169" s="578">
        <f t="shared" si="59"/>
        <v>5130</v>
      </c>
      <c r="Q169" s="578">
        <f t="shared" si="60"/>
        <v>256.5</v>
      </c>
      <c r="R169" s="658">
        <f t="shared" si="61"/>
        <v>53.864999999999995</v>
      </c>
      <c r="S169" s="578">
        <f t="shared" si="62"/>
        <v>4430.454545454546</v>
      </c>
      <c r="T169" s="578">
        <f t="shared" si="63"/>
        <v>26316900</v>
      </c>
      <c r="U169" s="578">
        <f t="shared" si="64"/>
        <v>64.125</v>
      </c>
      <c r="V169" s="578">
        <f t="shared" si="65"/>
        <v>13.466249999999999</v>
      </c>
      <c r="W169" s="578">
        <f t="shared" si="66"/>
        <v>609.1875</v>
      </c>
    </row>
    <row r="170" spans="1:23" ht="15.75" x14ac:dyDescent="0.25">
      <c r="A170" s="129">
        <f t="shared" si="67"/>
        <v>100005</v>
      </c>
      <c r="B170" s="92" t="s">
        <v>19</v>
      </c>
      <c r="C170" s="112">
        <v>8550</v>
      </c>
      <c r="D170" s="577">
        <v>1.578835457061134E-2</v>
      </c>
      <c r="E170" s="578">
        <f t="shared" si="53"/>
        <v>225947.58350283839</v>
      </c>
      <c r="F170" s="578">
        <f t="shared" si="54"/>
        <v>26.426617953548348</v>
      </c>
      <c r="G170" s="578">
        <f t="shared" si="56"/>
        <v>290.69279748903182</v>
      </c>
      <c r="H170" s="578">
        <f t="shared" si="55"/>
        <v>2485423.4185312223</v>
      </c>
      <c r="I170" s="623">
        <v>0.4</v>
      </c>
      <c r="J170" s="24" t="s">
        <v>216</v>
      </c>
      <c r="K170" s="600">
        <v>8</v>
      </c>
      <c r="L170" s="600">
        <v>9.5</v>
      </c>
      <c r="M170" s="607">
        <v>0.21</v>
      </c>
      <c r="N170" s="578">
        <f t="shared" si="57"/>
        <v>225947.58350283839</v>
      </c>
      <c r="O170" s="578">
        <f t="shared" si="58"/>
        <v>777.27272727272737</v>
      </c>
      <c r="P170" s="578">
        <f t="shared" si="59"/>
        <v>8550.0000000000018</v>
      </c>
      <c r="Q170" s="578">
        <f t="shared" si="60"/>
        <v>427.50000000000011</v>
      </c>
      <c r="R170" s="658">
        <f t="shared" si="61"/>
        <v>89.77500000000002</v>
      </c>
      <c r="S170" s="578">
        <f t="shared" si="62"/>
        <v>7384.0909090909099</v>
      </c>
      <c r="T170" s="578">
        <f t="shared" si="63"/>
        <v>73102500.000000015</v>
      </c>
      <c r="U170" s="578">
        <f t="shared" si="64"/>
        <v>106.87500000000003</v>
      </c>
      <c r="V170" s="578">
        <f t="shared" si="65"/>
        <v>22.443750000000005</v>
      </c>
      <c r="W170" s="578">
        <f t="shared" si="66"/>
        <v>1015.3125000000002</v>
      </c>
    </row>
    <row r="171" spans="1:23" ht="15.75" x14ac:dyDescent="0.25">
      <c r="A171" s="129">
        <f t="shared" si="67"/>
        <v>100006</v>
      </c>
      <c r="B171" s="92" t="s">
        <v>42</v>
      </c>
      <c r="C171" s="112">
        <v>10100</v>
      </c>
      <c r="D171" s="577">
        <v>1.7467299349658533E-2</v>
      </c>
      <c r="E171" s="578">
        <f t="shared" si="53"/>
        <v>249975.00915785591</v>
      </c>
      <c r="F171" s="578">
        <f t="shared" si="54"/>
        <v>24.750000906718405</v>
      </c>
      <c r="G171" s="578">
        <f t="shared" si="56"/>
        <v>272.25000997390248</v>
      </c>
      <c r="H171" s="578">
        <f t="shared" si="55"/>
        <v>2749725.100736415</v>
      </c>
      <c r="I171" s="623">
        <v>0.4</v>
      </c>
      <c r="J171" s="24" t="s">
        <v>216</v>
      </c>
      <c r="K171" s="600">
        <v>8</v>
      </c>
      <c r="L171" s="600">
        <v>9.5</v>
      </c>
      <c r="M171" s="607">
        <v>0.21</v>
      </c>
      <c r="N171" s="578">
        <f t="shared" si="57"/>
        <v>249975.00915785591</v>
      </c>
      <c r="O171" s="578">
        <f t="shared" si="58"/>
        <v>918.18181818181813</v>
      </c>
      <c r="P171" s="578">
        <f t="shared" si="59"/>
        <v>10100</v>
      </c>
      <c r="Q171" s="578">
        <f t="shared" si="60"/>
        <v>505</v>
      </c>
      <c r="R171" s="658">
        <f t="shared" si="61"/>
        <v>106.05</v>
      </c>
      <c r="S171" s="578">
        <f t="shared" si="62"/>
        <v>8722.7272727272721</v>
      </c>
      <c r="T171" s="578">
        <f t="shared" si="63"/>
        <v>102010000</v>
      </c>
      <c r="U171" s="578">
        <f t="shared" si="64"/>
        <v>126.25</v>
      </c>
      <c r="V171" s="578">
        <f t="shared" si="65"/>
        <v>26.512499999999999</v>
      </c>
      <c r="W171" s="578">
        <f t="shared" si="66"/>
        <v>1199.375</v>
      </c>
    </row>
    <row r="172" spans="1:23" ht="15.75" x14ac:dyDescent="0.25">
      <c r="A172" s="129">
        <f>+A171+1</f>
        <v>100007</v>
      </c>
      <c r="B172" s="93" t="s">
        <v>43</v>
      </c>
      <c r="C172" s="115">
        <v>2340</v>
      </c>
      <c r="D172" s="577">
        <v>2.0689609453558255E-2</v>
      </c>
      <c r="E172" s="578">
        <f t="shared" si="53"/>
        <v>296089.57910982339</v>
      </c>
      <c r="F172" s="578">
        <f t="shared" si="54"/>
        <v>126.53400816659119</v>
      </c>
      <c r="G172" s="578">
        <f t="shared" si="56"/>
        <v>1391.8740898325032</v>
      </c>
      <c r="H172" s="578">
        <f t="shared" si="55"/>
        <v>3256985.3702080576</v>
      </c>
      <c r="I172" s="625">
        <v>0.08</v>
      </c>
      <c r="J172" s="24" t="s">
        <v>215</v>
      </c>
      <c r="K172" s="601">
        <v>2</v>
      </c>
      <c r="L172" s="601">
        <v>3.5</v>
      </c>
      <c r="M172" s="608">
        <v>0.21</v>
      </c>
      <c r="N172" s="578">
        <f t="shared" si="57"/>
        <v>296089.57910982339</v>
      </c>
      <c r="O172" s="578">
        <f t="shared" si="58"/>
        <v>212.72727272727272</v>
      </c>
      <c r="P172" s="578">
        <f t="shared" si="59"/>
        <v>2340</v>
      </c>
      <c r="Q172" s="578">
        <f>+P172/25</f>
        <v>93.6</v>
      </c>
      <c r="R172" s="658">
        <f t="shared" si="61"/>
        <v>19.655999999999999</v>
      </c>
      <c r="S172" s="578">
        <f t="shared" si="62"/>
        <v>744.5454545454545</v>
      </c>
      <c r="T172" s="578">
        <f t="shared" si="63"/>
        <v>5475600</v>
      </c>
      <c r="U172" s="578">
        <f t="shared" si="64"/>
        <v>23.4</v>
      </c>
      <c r="V172" s="578">
        <f t="shared" si="65"/>
        <v>4.9139999999999997</v>
      </c>
      <c r="W172" s="578">
        <f t="shared" si="66"/>
        <v>81.899999999999991</v>
      </c>
    </row>
    <row r="173" spans="1:23" ht="15.75" x14ac:dyDescent="0.25">
      <c r="A173" s="129">
        <f t="shared" si="67"/>
        <v>100008</v>
      </c>
      <c r="B173" s="93" t="s">
        <v>47</v>
      </c>
      <c r="C173" s="115">
        <v>2340</v>
      </c>
      <c r="D173" s="577">
        <v>8.7435789522680076E-3</v>
      </c>
      <c r="E173" s="578">
        <f t="shared" si="53"/>
        <v>125129.60274585086</v>
      </c>
      <c r="F173" s="578">
        <f t="shared" si="54"/>
        <v>53.474189207628577</v>
      </c>
      <c r="G173" s="578">
        <f t="shared" si="56"/>
        <v>588.21608128391438</v>
      </c>
      <c r="H173" s="578">
        <f t="shared" si="55"/>
        <v>1376425.6302043595</v>
      </c>
      <c r="I173" s="625">
        <v>0.09</v>
      </c>
      <c r="J173" s="24" t="s">
        <v>215</v>
      </c>
      <c r="K173" s="601">
        <v>2.25</v>
      </c>
      <c r="L173" s="601">
        <v>3.75</v>
      </c>
      <c r="M173" s="608">
        <v>0.21</v>
      </c>
      <c r="N173" s="578">
        <f t="shared" si="57"/>
        <v>125129.60274585086</v>
      </c>
      <c r="O173" s="578">
        <f t="shared" si="58"/>
        <v>212.72727272727269</v>
      </c>
      <c r="P173" s="578">
        <f t="shared" si="59"/>
        <v>2339.9999999999995</v>
      </c>
      <c r="Q173" s="578">
        <f t="shared" ref="Q173:Q175" si="68">+P173/25</f>
        <v>93.59999999999998</v>
      </c>
      <c r="R173" s="658">
        <f t="shared" si="61"/>
        <v>19.655999999999995</v>
      </c>
      <c r="S173" s="578">
        <f t="shared" si="62"/>
        <v>797.72727272727263</v>
      </c>
      <c r="T173" s="578">
        <f t="shared" si="63"/>
        <v>5475599.9999999991</v>
      </c>
      <c r="U173" s="578">
        <f t="shared" si="64"/>
        <v>23.399999999999995</v>
      </c>
      <c r="V173" s="578">
        <f t="shared" si="65"/>
        <v>4.9139999999999988</v>
      </c>
      <c r="W173" s="578">
        <f t="shared" si="66"/>
        <v>87.749999999999986</v>
      </c>
    </row>
    <row r="174" spans="1:23" ht="15.75" x14ac:dyDescent="0.25">
      <c r="A174" s="129">
        <f t="shared" si="67"/>
        <v>100009</v>
      </c>
      <c r="B174" s="93" t="s">
        <v>50</v>
      </c>
      <c r="C174" s="115">
        <v>2240</v>
      </c>
      <c r="D174" s="577">
        <v>3.4666989811607013E-2</v>
      </c>
      <c r="E174" s="578">
        <f t="shared" si="53"/>
        <v>496120.26004473149</v>
      </c>
      <c r="F174" s="578">
        <f t="shared" si="54"/>
        <v>221.48225894854085</v>
      </c>
      <c r="G174" s="578">
        <f t="shared" si="56"/>
        <v>2436.3048484339492</v>
      </c>
      <c r="H174" s="578">
        <f t="shared" si="55"/>
        <v>5457322.860492046</v>
      </c>
      <c r="I174" s="625">
        <v>0.1</v>
      </c>
      <c r="J174" s="24" t="s">
        <v>215</v>
      </c>
      <c r="K174" s="601">
        <v>2.5</v>
      </c>
      <c r="L174" s="601">
        <v>4</v>
      </c>
      <c r="M174" s="608">
        <v>0.21</v>
      </c>
      <c r="N174" s="578">
        <f t="shared" si="57"/>
        <v>496120.26004473149</v>
      </c>
      <c r="O174" s="578">
        <f t="shared" si="58"/>
        <v>203.63636363636363</v>
      </c>
      <c r="P174" s="578">
        <f t="shared" si="59"/>
        <v>2240</v>
      </c>
      <c r="Q174" s="578">
        <f t="shared" si="68"/>
        <v>89.6</v>
      </c>
      <c r="R174" s="658">
        <f t="shared" si="61"/>
        <v>18.815999999999999</v>
      </c>
      <c r="S174" s="578">
        <f t="shared" si="62"/>
        <v>814.5454545454545</v>
      </c>
      <c r="T174" s="578">
        <f t="shared" si="63"/>
        <v>5017600</v>
      </c>
      <c r="U174" s="578">
        <f t="shared" si="64"/>
        <v>22.4</v>
      </c>
      <c r="V174" s="578">
        <f t="shared" si="65"/>
        <v>4.7039999999999997</v>
      </c>
      <c r="W174" s="578">
        <f t="shared" si="66"/>
        <v>89.6</v>
      </c>
    </row>
    <row r="175" spans="1:23" ht="15.75" x14ac:dyDescent="0.25">
      <c r="A175" s="129">
        <f t="shared" si="67"/>
        <v>100010</v>
      </c>
      <c r="B175" s="93" t="s">
        <v>52</v>
      </c>
      <c r="C175" s="115">
        <v>2300</v>
      </c>
      <c r="D175" s="577">
        <v>2.8351594888090376E-2</v>
      </c>
      <c r="E175" s="578">
        <f t="shared" si="53"/>
        <v>405740.46679567324</v>
      </c>
      <c r="F175" s="578">
        <f t="shared" si="54"/>
        <v>176.40889860681446</v>
      </c>
      <c r="G175" s="578">
        <f t="shared" si="56"/>
        <v>1940.4978846749591</v>
      </c>
      <c r="H175" s="578">
        <f t="shared" si="55"/>
        <v>4463145.1347524058</v>
      </c>
      <c r="I175" s="625">
        <v>0.36</v>
      </c>
      <c r="J175" s="24" t="s">
        <v>215</v>
      </c>
      <c r="K175" s="601">
        <v>9</v>
      </c>
      <c r="L175" s="601">
        <v>10.5</v>
      </c>
      <c r="M175" s="608">
        <v>0.21</v>
      </c>
      <c r="N175" s="578">
        <f t="shared" si="57"/>
        <v>405740.46679567324</v>
      </c>
      <c r="O175" s="578">
        <f t="shared" si="58"/>
        <v>209.09090909090909</v>
      </c>
      <c r="P175" s="578">
        <f t="shared" si="59"/>
        <v>2300</v>
      </c>
      <c r="Q175" s="578">
        <f t="shared" si="68"/>
        <v>92</v>
      </c>
      <c r="R175" s="658">
        <f t="shared" si="61"/>
        <v>19.32</v>
      </c>
      <c r="S175" s="578">
        <f t="shared" si="62"/>
        <v>2195.4545454545455</v>
      </c>
      <c r="T175" s="578">
        <f t="shared" si="63"/>
        <v>5290000</v>
      </c>
      <c r="U175" s="578">
        <f t="shared" si="64"/>
        <v>23</v>
      </c>
      <c r="V175" s="578">
        <f t="shared" si="65"/>
        <v>4.83</v>
      </c>
      <c r="W175" s="578">
        <f t="shared" si="66"/>
        <v>241.5</v>
      </c>
    </row>
    <row r="176" spans="1:23" ht="15.75" x14ac:dyDescent="0.25">
      <c r="A176" s="129">
        <f t="shared" si="67"/>
        <v>100011</v>
      </c>
      <c r="B176" s="93" t="s">
        <v>53</v>
      </c>
      <c r="C176" s="115">
        <v>1260</v>
      </c>
      <c r="D176" s="577">
        <v>1.8298463263697554E-2</v>
      </c>
      <c r="E176" s="578">
        <f t="shared" si="53"/>
        <v>261869.81916050497</v>
      </c>
      <c r="F176" s="578">
        <f t="shared" si="54"/>
        <v>207.83318980992456</v>
      </c>
      <c r="G176" s="578">
        <f t="shared" si="56"/>
        <v>2286.1650879091703</v>
      </c>
      <c r="H176" s="578">
        <f t="shared" si="55"/>
        <v>2880568.0107655544</v>
      </c>
      <c r="I176" s="625">
        <v>0.15</v>
      </c>
      <c r="J176" s="24" t="s">
        <v>216</v>
      </c>
      <c r="K176" s="601">
        <v>3</v>
      </c>
      <c r="L176" s="601">
        <v>4.5</v>
      </c>
      <c r="M176" s="608">
        <v>0.21</v>
      </c>
      <c r="N176" s="578">
        <f t="shared" si="57"/>
        <v>261869.81916050497</v>
      </c>
      <c r="O176" s="578">
        <f t="shared" si="58"/>
        <v>114.54545454545455</v>
      </c>
      <c r="P176" s="578">
        <f t="shared" si="59"/>
        <v>1260</v>
      </c>
      <c r="Q176" s="578">
        <f t="shared" ref="Q176:Q182" si="69">+P176/20</f>
        <v>63</v>
      </c>
      <c r="R176" s="658">
        <f t="shared" si="61"/>
        <v>13.229999999999999</v>
      </c>
      <c r="S176" s="578">
        <f t="shared" si="62"/>
        <v>515.4545454545455</v>
      </c>
      <c r="T176" s="578">
        <f t="shared" si="63"/>
        <v>1587600</v>
      </c>
      <c r="U176" s="578">
        <f t="shared" si="64"/>
        <v>15.75</v>
      </c>
      <c r="V176" s="578">
        <f t="shared" si="65"/>
        <v>3.3074999999999997</v>
      </c>
      <c r="W176" s="578">
        <f t="shared" si="66"/>
        <v>70.875</v>
      </c>
    </row>
    <row r="177" spans="1:23" ht="15.75" x14ac:dyDescent="0.25">
      <c r="A177" s="129">
        <f t="shared" si="67"/>
        <v>100012</v>
      </c>
      <c r="B177" s="93" t="s">
        <v>55</v>
      </c>
      <c r="C177" s="115">
        <v>1260</v>
      </c>
      <c r="D177" s="577">
        <v>1.4356577442554015E-2</v>
      </c>
      <c r="E177" s="578">
        <f t="shared" si="53"/>
        <v>205457.38100882003</v>
      </c>
      <c r="F177" s="578">
        <f t="shared" si="54"/>
        <v>163.06141349906352</v>
      </c>
      <c r="G177" s="578">
        <f t="shared" si="56"/>
        <v>1793.6755484896987</v>
      </c>
      <c r="H177" s="578">
        <f t="shared" si="55"/>
        <v>2260031.1910970202</v>
      </c>
      <c r="I177" s="625">
        <v>0.09</v>
      </c>
      <c r="J177" s="24" t="s">
        <v>216</v>
      </c>
      <c r="K177" s="601">
        <v>1.7999999999999998</v>
      </c>
      <c r="L177" s="601">
        <v>3.3</v>
      </c>
      <c r="M177" s="608">
        <v>0.21</v>
      </c>
      <c r="N177" s="578">
        <f t="shared" si="57"/>
        <v>205457.38100882003</v>
      </c>
      <c r="O177" s="578">
        <f t="shared" si="58"/>
        <v>114.54545454545455</v>
      </c>
      <c r="P177" s="578">
        <f t="shared" si="59"/>
        <v>1260</v>
      </c>
      <c r="Q177" s="578">
        <f t="shared" si="69"/>
        <v>63</v>
      </c>
      <c r="R177" s="658">
        <f t="shared" si="61"/>
        <v>13.229999999999999</v>
      </c>
      <c r="S177" s="578">
        <f t="shared" si="62"/>
        <v>378</v>
      </c>
      <c r="T177" s="578">
        <f t="shared" si="63"/>
        <v>1587600</v>
      </c>
      <c r="U177" s="578">
        <f t="shared" si="64"/>
        <v>15.75</v>
      </c>
      <c r="V177" s="578">
        <f t="shared" si="65"/>
        <v>3.3074999999999997</v>
      </c>
      <c r="W177" s="578">
        <f t="shared" si="66"/>
        <v>51.974999999999994</v>
      </c>
    </row>
    <row r="178" spans="1:23" ht="15.75" x14ac:dyDescent="0.25">
      <c r="A178" s="129">
        <f t="shared" si="67"/>
        <v>100013</v>
      </c>
      <c r="B178" s="93" t="s">
        <v>57</v>
      </c>
      <c r="C178" s="115">
        <v>2710</v>
      </c>
      <c r="D178" s="577">
        <v>2.098811690004827E-2</v>
      </c>
      <c r="E178" s="578">
        <f t="shared" si="53"/>
        <v>300361.5275190369</v>
      </c>
      <c r="F178" s="578">
        <f t="shared" si="54"/>
        <v>110.83451199964462</v>
      </c>
      <c r="G178" s="578">
        <f t="shared" si="56"/>
        <v>1219.1796319960908</v>
      </c>
      <c r="H178" s="578">
        <f t="shared" si="55"/>
        <v>3303976.8027094062</v>
      </c>
      <c r="I178" s="625">
        <v>0.18</v>
      </c>
      <c r="J178" s="24" t="s">
        <v>218</v>
      </c>
      <c r="K178" s="601">
        <v>3.5999999999999996</v>
      </c>
      <c r="L178" s="601">
        <v>5.0999999999999996</v>
      </c>
      <c r="M178" s="608">
        <v>0.21</v>
      </c>
      <c r="N178" s="578">
        <f t="shared" si="57"/>
        <v>300361.5275190369</v>
      </c>
      <c r="O178" s="578">
        <f t="shared" si="58"/>
        <v>246.36363636363635</v>
      </c>
      <c r="P178" s="578">
        <f t="shared" si="59"/>
        <v>2710</v>
      </c>
      <c r="Q178" s="578">
        <f t="shared" si="69"/>
        <v>135.5</v>
      </c>
      <c r="R178" s="658">
        <f t="shared" si="61"/>
        <v>28.454999999999998</v>
      </c>
      <c r="S178" s="578">
        <f t="shared" si="62"/>
        <v>1256.4545454545453</v>
      </c>
      <c r="T178" s="578">
        <f t="shared" si="63"/>
        <v>7344100</v>
      </c>
      <c r="U178" s="578">
        <f t="shared" si="64"/>
        <v>33.875</v>
      </c>
      <c r="V178" s="578">
        <f t="shared" si="65"/>
        <v>7.1137499999999996</v>
      </c>
      <c r="W178" s="578">
        <f t="shared" si="66"/>
        <v>172.76249999999999</v>
      </c>
    </row>
    <row r="179" spans="1:23" ht="15.75" x14ac:dyDescent="0.25">
      <c r="A179" s="129">
        <f t="shared" si="67"/>
        <v>100014</v>
      </c>
      <c r="B179" s="93" t="s">
        <v>59</v>
      </c>
      <c r="C179" s="115">
        <v>1480</v>
      </c>
      <c r="D179" s="577">
        <v>2.0679468122106363E-2</v>
      </c>
      <c r="E179" s="578">
        <f t="shared" si="53"/>
        <v>295944.44623199193</v>
      </c>
      <c r="F179" s="578">
        <f t="shared" si="54"/>
        <v>199.96246367026481</v>
      </c>
      <c r="G179" s="578">
        <f t="shared" si="56"/>
        <v>2199.587100372913</v>
      </c>
      <c r="H179" s="578">
        <f t="shared" si="55"/>
        <v>3255388.9085519114</v>
      </c>
      <c r="I179" s="625">
        <v>0.56000000000000005</v>
      </c>
      <c r="J179" s="24" t="s">
        <v>219</v>
      </c>
      <c r="K179" s="601">
        <v>11.200000000000001</v>
      </c>
      <c r="L179" s="601">
        <v>13.000000000000002</v>
      </c>
      <c r="M179" s="608">
        <v>0.35</v>
      </c>
      <c r="N179" s="578">
        <f t="shared" si="57"/>
        <v>295944.44623199193</v>
      </c>
      <c r="O179" s="578">
        <f t="shared" si="58"/>
        <v>134.54545454545453</v>
      </c>
      <c r="P179" s="578">
        <f t="shared" si="59"/>
        <v>1479.9999999999998</v>
      </c>
      <c r="Q179" s="578">
        <f t="shared" si="69"/>
        <v>73.999999999999986</v>
      </c>
      <c r="R179" s="658">
        <f t="shared" si="61"/>
        <v>25.899999999999995</v>
      </c>
      <c r="S179" s="578">
        <f t="shared" si="62"/>
        <v>1749.0909090909092</v>
      </c>
      <c r="T179" s="578">
        <f t="shared" si="63"/>
        <v>2190399.9999999995</v>
      </c>
      <c r="U179" s="578">
        <f t="shared" si="64"/>
        <v>18.499999999999996</v>
      </c>
      <c r="V179" s="578">
        <f t="shared" si="65"/>
        <v>6.4749999999999988</v>
      </c>
      <c r="W179" s="578">
        <f t="shared" si="66"/>
        <v>240.5</v>
      </c>
    </row>
    <row r="180" spans="1:23" ht="15.75" x14ac:dyDescent="0.25">
      <c r="A180" s="129">
        <f>+A179+1</f>
        <v>100015</v>
      </c>
      <c r="B180" s="94" t="s">
        <v>62</v>
      </c>
      <c r="C180" s="241">
        <v>2360</v>
      </c>
      <c r="D180" s="577">
        <v>5.4548355917159799E-2</v>
      </c>
      <c r="E180" s="578">
        <f t="shared" si="53"/>
        <v>780643.04601298133</v>
      </c>
      <c r="F180" s="578">
        <f t="shared" si="54"/>
        <v>330.78095170041581</v>
      </c>
      <c r="G180" s="578">
        <f t="shared" si="56"/>
        <v>3638.5904687045741</v>
      </c>
      <c r="H180" s="578">
        <f t="shared" si="55"/>
        <v>8587073.5061427951</v>
      </c>
      <c r="I180" s="627">
        <v>0.60000000000000009</v>
      </c>
      <c r="J180" s="24" t="s">
        <v>216</v>
      </c>
      <c r="K180" s="602">
        <v>12.000000000000002</v>
      </c>
      <c r="L180" s="602">
        <v>13.500000000000002</v>
      </c>
      <c r="M180" s="609">
        <v>0.21</v>
      </c>
      <c r="N180" s="578">
        <f t="shared" si="57"/>
        <v>780643.04601298133</v>
      </c>
      <c r="O180" s="578">
        <f t="shared" si="58"/>
        <v>214.54545454545453</v>
      </c>
      <c r="P180" s="578">
        <f t="shared" si="59"/>
        <v>2360</v>
      </c>
      <c r="Q180" s="578">
        <f t="shared" si="69"/>
        <v>118</v>
      </c>
      <c r="R180" s="658">
        <f t="shared" si="61"/>
        <v>24.779999999999998</v>
      </c>
      <c r="S180" s="578">
        <f t="shared" si="62"/>
        <v>2896.3636363636365</v>
      </c>
      <c r="T180" s="578">
        <f t="shared" si="63"/>
        <v>5569600</v>
      </c>
      <c r="U180" s="578">
        <f t="shared" si="64"/>
        <v>29.5</v>
      </c>
      <c r="V180" s="578">
        <f t="shared" si="65"/>
        <v>6.1949999999999994</v>
      </c>
      <c r="W180" s="578">
        <f t="shared" si="66"/>
        <v>398.25000000000006</v>
      </c>
    </row>
    <row r="181" spans="1:23" ht="15.75" x14ac:dyDescent="0.25">
      <c r="A181" s="129">
        <f t="shared" si="67"/>
        <v>100016</v>
      </c>
      <c r="B181" s="94" t="s">
        <v>65</v>
      </c>
      <c r="C181" s="241">
        <v>5000</v>
      </c>
      <c r="D181" s="577">
        <v>1.2735897046611974E-2</v>
      </c>
      <c r="E181" s="578">
        <f t="shared" si="53"/>
        <v>182263.77856875598</v>
      </c>
      <c r="F181" s="578">
        <f t="shared" si="54"/>
        <v>36.452755713751195</v>
      </c>
      <c r="G181" s="578">
        <f t="shared" si="56"/>
        <v>400.98031285126314</v>
      </c>
      <c r="H181" s="578">
        <f t="shared" si="55"/>
        <v>2004901.5642563156</v>
      </c>
      <c r="I181" s="627">
        <v>0.48</v>
      </c>
      <c r="J181" s="24" t="s">
        <v>218</v>
      </c>
      <c r="K181" s="602">
        <v>9.6</v>
      </c>
      <c r="L181" s="602">
        <v>11.1</v>
      </c>
      <c r="M181" s="609">
        <v>0.21</v>
      </c>
      <c r="N181" s="578">
        <f t="shared" si="57"/>
        <v>182263.77856875598</v>
      </c>
      <c r="O181" s="578">
        <f t="shared" si="58"/>
        <v>454.54545454545456</v>
      </c>
      <c r="P181" s="578">
        <f t="shared" si="59"/>
        <v>5000</v>
      </c>
      <c r="Q181" s="578">
        <f t="shared" si="69"/>
        <v>250</v>
      </c>
      <c r="R181" s="658">
        <f t="shared" si="61"/>
        <v>52.5</v>
      </c>
      <c r="S181" s="578">
        <f t="shared" si="62"/>
        <v>5045.454545454545</v>
      </c>
      <c r="T181" s="578">
        <f t="shared" si="63"/>
        <v>25000000</v>
      </c>
      <c r="U181" s="578">
        <f t="shared" si="64"/>
        <v>62.5</v>
      </c>
      <c r="V181" s="578">
        <f t="shared" si="65"/>
        <v>13.125</v>
      </c>
      <c r="W181" s="578">
        <f t="shared" si="66"/>
        <v>693.75</v>
      </c>
    </row>
    <row r="182" spans="1:23" ht="15.75" x14ac:dyDescent="0.25">
      <c r="A182" s="129">
        <f t="shared" si="67"/>
        <v>100017</v>
      </c>
      <c r="B182" s="94" t="s">
        <v>66</v>
      </c>
      <c r="C182" s="241">
        <v>3590</v>
      </c>
      <c r="D182" s="577">
        <v>9.1809484158309283E-3</v>
      </c>
      <c r="E182" s="578">
        <f t="shared" si="53"/>
        <v>131388.80936222139</v>
      </c>
      <c r="F182" s="578">
        <f t="shared" si="54"/>
        <v>36.598554139894539</v>
      </c>
      <c r="G182" s="578">
        <f t="shared" si="56"/>
        <v>402.5840955388399</v>
      </c>
      <c r="H182" s="578">
        <f t="shared" si="55"/>
        <v>1445276.9029844352</v>
      </c>
      <c r="I182" s="627">
        <v>0.2</v>
      </c>
      <c r="J182" s="24" t="s">
        <v>218</v>
      </c>
      <c r="K182" s="602">
        <v>4</v>
      </c>
      <c r="L182" s="602">
        <v>5.5</v>
      </c>
      <c r="M182" s="609">
        <v>0.21</v>
      </c>
      <c r="N182" s="578">
        <f t="shared" si="57"/>
        <v>131388.80936222139</v>
      </c>
      <c r="O182" s="578">
        <f t="shared" si="58"/>
        <v>326.36363636363637</v>
      </c>
      <c r="P182" s="578">
        <f t="shared" si="59"/>
        <v>3590</v>
      </c>
      <c r="Q182" s="578">
        <f t="shared" si="69"/>
        <v>179.5</v>
      </c>
      <c r="R182" s="658">
        <f t="shared" si="61"/>
        <v>37.695</v>
      </c>
      <c r="S182" s="578">
        <f t="shared" si="62"/>
        <v>1795</v>
      </c>
      <c r="T182" s="578">
        <f t="shared" si="63"/>
        <v>12888100</v>
      </c>
      <c r="U182" s="578">
        <f t="shared" si="64"/>
        <v>44.875</v>
      </c>
      <c r="V182" s="578">
        <f t="shared" si="65"/>
        <v>9.4237500000000001</v>
      </c>
      <c r="W182" s="578">
        <f t="shared" si="66"/>
        <v>246.8125</v>
      </c>
    </row>
    <row r="183" spans="1:23" ht="15.75" x14ac:dyDescent="0.25">
      <c r="A183" s="129">
        <f t="shared" si="67"/>
        <v>100018</v>
      </c>
      <c r="B183" s="94" t="s">
        <v>68</v>
      </c>
      <c r="C183" s="241">
        <v>12330</v>
      </c>
      <c r="D183" s="577">
        <v>8.7539275592806512E-3</v>
      </c>
      <c r="E183" s="578">
        <f t="shared" si="53"/>
        <v>125277.70195002505</v>
      </c>
      <c r="F183" s="578">
        <f t="shared" si="54"/>
        <v>10.160397562856858</v>
      </c>
      <c r="G183" s="578">
        <f t="shared" si="56"/>
        <v>111.76437319142543</v>
      </c>
      <c r="H183" s="578">
        <f t="shared" si="55"/>
        <v>1378054.7214502755</v>
      </c>
      <c r="I183" s="627">
        <v>0.12</v>
      </c>
      <c r="J183" s="24" t="s">
        <v>215</v>
      </c>
      <c r="K183" s="602">
        <v>3</v>
      </c>
      <c r="L183" s="602">
        <v>4.5</v>
      </c>
      <c r="M183" s="609">
        <v>0.21</v>
      </c>
      <c r="N183" s="578">
        <f t="shared" si="57"/>
        <v>125277.70195002505</v>
      </c>
      <c r="O183" s="578">
        <f t="shared" si="58"/>
        <v>1120.9090909090908</v>
      </c>
      <c r="P183" s="578">
        <f t="shared" si="59"/>
        <v>12329.999999999998</v>
      </c>
      <c r="Q183" s="578">
        <f t="shared" ref="Q183" si="70">+P183/25</f>
        <v>493.19999999999993</v>
      </c>
      <c r="R183" s="658">
        <f t="shared" si="61"/>
        <v>103.57199999999999</v>
      </c>
      <c r="S183" s="578">
        <f t="shared" si="62"/>
        <v>5044.0909090909081</v>
      </c>
      <c r="T183" s="578">
        <f t="shared" si="63"/>
        <v>152028899.99999997</v>
      </c>
      <c r="U183" s="578">
        <f t="shared" si="64"/>
        <v>123.29999999999998</v>
      </c>
      <c r="V183" s="578">
        <f t="shared" si="65"/>
        <v>25.892999999999997</v>
      </c>
      <c r="W183" s="578">
        <f t="shared" si="66"/>
        <v>554.84999999999991</v>
      </c>
    </row>
    <row r="184" spans="1:23" ht="15.75" x14ac:dyDescent="0.25">
      <c r="A184" s="129">
        <f t="shared" si="67"/>
        <v>100019</v>
      </c>
      <c r="B184" s="94" t="s">
        <v>70</v>
      </c>
      <c r="C184" s="241">
        <v>7480</v>
      </c>
      <c r="D184" s="577">
        <v>7.6756998964912062E-3</v>
      </c>
      <c r="E184" s="578">
        <f t="shared" si="53"/>
        <v>109847.15573422929</v>
      </c>
      <c r="F184" s="578">
        <f t="shared" si="54"/>
        <v>14.685448627570761</v>
      </c>
      <c r="G184" s="578">
        <f t="shared" si="56"/>
        <v>161.53993490327838</v>
      </c>
      <c r="H184" s="578">
        <f t="shared" si="55"/>
        <v>1208318.7130765223</v>
      </c>
      <c r="I184" s="627">
        <v>8.5000000000000006E-2</v>
      </c>
      <c r="J184" s="24" t="s">
        <v>214</v>
      </c>
      <c r="K184" s="602">
        <v>1.02</v>
      </c>
      <c r="L184" s="602">
        <v>2.52</v>
      </c>
      <c r="M184" s="609">
        <v>1.2000000000000002E-2</v>
      </c>
      <c r="N184" s="578">
        <f t="shared" si="57"/>
        <v>109847.15573422929</v>
      </c>
      <c r="O184" s="578">
        <f t="shared" si="58"/>
        <v>680</v>
      </c>
      <c r="P184" s="578">
        <f t="shared" si="59"/>
        <v>7480</v>
      </c>
      <c r="Q184" s="578">
        <f>+P184/12</f>
        <v>623.33333333333337</v>
      </c>
      <c r="R184" s="658">
        <f t="shared" si="61"/>
        <v>7.4800000000000013</v>
      </c>
      <c r="S184" s="578">
        <f t="shared" si="62"/>
        <v>1713.6</v>
      </c>
      <c r="T184" s="578">
        <f t="shared" si="63"/>
        <v>55950400</v>
      </c>
      <c r="U184" s="578">
        <f t="shared" si="64"/>
        <v>155.83333333333334</v>
      </c>
      <c r="V184" s="578">
        <f t="shared" si="65"/>
        <v>1.8700000000000003</v>
      </c>
      <c r="W184" s="578">
        <f t="shared" si="66"/>
        <v>392.70000000000005</v>
      </c>
    </row>
    <row r="185" spans="1:23" ht="15.75" x14ac:dyDescent="0.25">
      <c r="A185" s="129">
        <f t="shared" si="67"/>
        <v>100020</v>
      </c>
      <c r="B185" s="94" t="s">
        <v>72</v>
      </c>
      <c r="C185" s="241">
        <v>4100</v>
      </c>
      <c r="D185" s="577">
        <v>5.1954204213616869E-3</v>
      </c>
      <c r="E185" s="578">
        <f t="shared" si="53"/>
        <v>74351.806848388835</v>
      </c>
      <c r="F185" s="578">
        <f t="shared" si="54"/>
        <v>18.1345870361924</v>
      </c>
      <c r="G185" s="578">
        <f t="shared" si="56"/>
        <v>199.48045739811641</v>
      </c>
      <c r="H185" s="578">
        <f t="shared" si="55"/>
        <v>817869.87533227727</v>
      </c>
      <c r="I185" s="627">
        <v>0.84000000000000008</v>
      </c>
      <c r="J185" s="24" t="s">
        <v>224</v>
      </c>
      <c r="K185" s="602">
        <v>6.7200000000000006</v>
      </c>
      <c r="L185" s="602">
        <v>8.2200000000000006</v>
      </c>
      <c r="M185" s="609">
        <v>0.21</v>
      </c>
      <c r="N185" s="578">
        <f t="shared" si="57"/>
        <v>74351.806848388835</v>
      </c>
      <c r="O185" s="578">
        <f t="shared" si="58"/>
        <v>372.72727272727269</v>
      </c>
      <c r="P185" s="578">
        <f t="shared" si="59"/>
        <v>4100</v>
      </c>
      <c r="Q185" s="578">
        <f>+P185/8</f>
        <v>512.5</v>
      </c>
      <c r="R185" s="658">
        <f t="shared" si="61"/>
        <v>107.625</v>
      </c>
      <c r="S185" s="578">
        <f t="shared" si="62"/>
        <v>3063.818181818182</v>
      </c>
      <c r="T185" s="578">
        <f t="shared" si="63"/>
        <v>16810000</v>
      </c>
      <c r="U185" s="578">
        <f t="shared" si="64"/>
        <v>128.125</v>
      </c>
      <c r="V185" s="578">
        <f t="shared" si="65"/>
        <v>26.90625</v>
      </c>
      <c r="W185" s="578">
        <f t="shared" si="66"/>
        <v>1053.1875</v>
      </c>
    </row>
    <row r="186" spans="1:23" ht="15.75" x14ac:dyDescent="0.25">
      <c r="A186" s="129">
        <f>+A185+1</f>
        <v>100021</v>
      </c>
      <c r="B186" s="92" t="s">
        <v>73</v>
      </c>
      <c r="C186" s="243">
        <v>3300</v>
      </c>
      <c r="D186" s="577">
        <v>7.8910293316201436E-3</v>
      </c>
      <c r="E186" s="578">
        <f t="shared" si="53"/>
        <v>112928.74129824863</v>
      </c>
      <c r="F186" s="578">
        <f t="shared" si="54"/>
        <v>34.220830696438981</v>
      </c>
      <c r="G186" s="578">
        <f t="shared" si="56"/>
        <v>376.42913766082881</v>
      </c>
      <c r="H186" s="578">
        <f t="shared" si="55"/>
        <v>1242216.1542807352</v>
      </c>
      <c r="I186" s="629">
        <v>2.5499999999999998</v>
      </c>
      <c r="J186" s="24" t="s">
        <v>223</v>
      </c>
      <c r="K186" s="603">
        <v>10.199999999999999</v>
      </c>
      <c r="L186" s="603">
        <v>11.7</v>
      </c>
      <c r="M186" s="610">
        <v>0.21</v>
      </c>
      <c r="N186" s="578">
        <f t="shared" si="57"/>
        <v>112928.74129824863</v>
      </c>
      <c r="O186" s="578">
        <f t="shared" si="58"/>
        <v>299.99999999999994</v>
      </c>
      <c r="P186" s="578">
        <f t="shared" si="59"/>
        <v>3299.9999999999995</v>
      </c>
      <c r="Q186" s="578">
        <f>+P186/4</f>
        <v>824.99999999999989</v>
      </c>
      <c r="R186" s="658">
        <f t="shared" si="61"/>
        <v>173.24999999999997</v>
      </c>
      <c r="S186" s="578">
        <f t="shared" si="62"/>
        <v>3509.9999999999991</v>
      </c>
      <c r="T186" s="578">
        <f t="shared" si="63"/>
        <v>10889999.999999998</v>
      </c>
      <c r="U186" s="578">
        <f t="shared" si="64"/>
        <v>206.24999999999997</v>
      </c>
      <c r="V186" s="578">
        <f t="shared" si="65"/>
        <v>43.312499999999993</v>
      </c>
      <c r="W186" s="578">
        <f t="shared" si="66"/>
        <v>2413.1249999999995</v>
      </c>
    </row>
    <row r="187" spans="1:23" ht="15.75" x14ac:dyDescent="0.25">
      <c r="A187" s="129">
        <f t="shared" si="67"/>
        <v>100022</v>
      </c>
      <c r="B187" s="92" t="s">
        <v>76</v>
      </c>
      <c r="C187" s="243">
        <v>3000</v>
      </c>
      <c r="D187" s="577">
        <v>9.4692351979441727E-3</v>
      </c>
      <c r="E187" s="578">
        <f t="shared" si="53"/>
        <v>135514.48955789837</v>
      </c>
      <c r="F187" s="578">
        <f t="shared" si="54"/>
        <v>45.17149651929946</v>
      </c>
      <c r="G187" s="578">
        <f t="shared" si="56"/>
        <v>496.88646171229408</v>
      </c>
      <c r="H187" s="578">
        <f t="shared" si="55"/>
        <v>1490659.3851368823</v>
      </c>
      <c r="I187" s="629">
        <v>1.7879999999999998</v>
      </c>
      <c r="J187" s="24" t="s">
        <v>223</v>
      </c>
      <c r="K187" s="603">
        <v>7.1519999999999992</v>
      </c>
      <c r="L187" s="603">
        <v>8.6519999999999992</v>
      </c>
      <c r="M187" s="610">
        <v>0.21</v>
      </c>
      <c r="N187" s="578">
        <f t="shared" si="57"/>
        <v>135514.48955789837</v>
      </c>
      <c r="O187" s="578">
        <f t="shared" si="58"/>
        <v>272.72727272727269</v>
      </c>
      <c r="P187" s="578">
        <f t="shared" si="59"/>
        <v>2999.9999999999995</v>
      </c>
      <c r="Q187" s="578">
        <f t="shared" ref="Q187:Q192" si="71">+P187/4</f>
        <v>749.99999999999989</v>
      </c>
      <c r="R187" s="658">
        <f t="shared" si="61"/>
        <v>157.49999999999997</v>
      </c>
      <c r="S187" s="578">
        <f t="shared" si="62"/>
        <v>2359.6363636363631</v>
      </c>
      <c r="T187" s="578">
        <f t="shared" si="63"/>
        <v>8999999.9999999981</v>
      </c>
      <c r="U187" s="578">
        <f t="shared" si="64"/>
        <v>187.49999999999997</v>
      </c>
      <c r="V187" s="578">
        <f t="shared" si="65"/>
        <v>39.374999999999993</v>
      </c>
      <c r="W187" s="578">
        <f t="shared" si="66"/>
        <v>1622.2499999999995</v>
      </c>
    </row>
    <row r="188" spans="1:23" ht="15.75" x14ac:dyDescent="0.25">
      <c r="A188" s="129">
        <f t="shared" si="67"/>
        <v>100023</v>
      </c>
      <c r="B188" s="92" t="s">
        <v>78</v>
      </c>
      <c r="C188" s="243">
        <v>3800</v>
      </c>
      <c r="D188" s="577">
        <v>1.2625646930592231E-2</v>
      </c>
      <c r="E188" s="578">
        <f t="shared" si="53"/>
        <v>180685.98607719783</v>
      </c>
      <c r="F188" s="578">
        <f t="shared" si="54"/>
        <v>47.548943704525747</v>
      </c>
      <c r="G188" s="578">
        <f t="shared" si="56"/>
        <v>523.03838074978319</v>
      </c>
      <c r="H188" s="578">
        <f t="shared" si="55"/>
        <v>1987545.8468491761</v>
      </c>
      <c r="I188" s="629">
        <v>1.02</v>
      </c>
      <c r="J188" s="24" t="s">
        <v>223</v>
      </c>
      <c r="K188" s="603">
        <v>4.08</v>
      </c>
      <c r="L188" s="603">
        <v>5.58</v>
      </c>
      <c r="M188" s="610">
        <v>0.21</v>
      </c>
      <c r="N188" s="578">
        <f t="shared" si="57"/>
        <v>180685.98607719783</v>
      </c>
      <c r="O188" s="578">
        <f t="shared" si="58"/>
        <v>345.45454545454544</v>
      </c>
      <c r="P188" s="578">
        <f t="shared" si="59"/>
        <v>3800</v>
      </c>
      <c r="Q188" s="578">
        <f t="shared" si="71"/>
        <v>950</v>
      </c>
      <c r="R188" s="658">
        <f t="shared" si="61"/>
        <v>199.5</v>
      </c>
      <c r="S188" s="578">
        <f t="shared" si="62"/>
        <v>1927.6363636363635</v>
      </c>
      <c r="T188" s="578">
        <f t="shared" si="63"/>
        <v>14440000</v>
      </c>
      <c r="U188" s="578">
        <f t="shared" si="64"/>
        <v>237.5</v>
      </c>
      <c r="V188" s="578">
        <f t="shared" si="65"/>
        <v>49.875</v>
      </c>
      <c r="W188" s="578">
        <f t="shared" si="66"/>
        <v>1325.25</v>
      </c>
    </row>
    <row r="189" spans="1:23" ht="15.75" x14ac:dyDescent="0.25">
      <c r="A189" s="129">
        <f t="shared" si="67"/>
        <v>100024</v>
      </c>
      <c r="B189" s="95" t="s">
        <v>80</v>
      </c>
      <c r="C189" s="243">
        <v>2300</v>
      </c>
      <c r="D189" s="577">
        <v>1.8938470395888345E-2</v>
      </c>
      <c r="E189" s="578">
        <f t="shared" si="53"/>
        <v>271028.97911579674</v>
      </c>
      <c r="F189" s="578">
        <f t="shared" si="54"/>
        <v>117.83868657208554</v>
      </c>
      <c r="G189" s="578">
        <f t="shared" si="56"/>
        <v>1296.2255522929408</v>
      </c>
      <c r="H189" s="578">
        <f t="shared" si="55"/>
        <v>2981318.7702737642</v>
      </c>
      <c r="I189" s="629">
        <v>1.1040000000000001</v>
      </c>
      <c r="J189" s="24" t="s">
        <v>223</v>
      </c>
      <c r="K189" s="603">
        <v>4.4160000000000004</v>
      </c>
      <c r="L189" s="603">
        <v>5.9160000000000004</v>
      </c>
      <c r="M189" s="610">
        <v>0.21</v>
      </c>
      <c r="N189" s="578">
        <f t="shared" si="57"/>
        <v>271028.97911579674</v>
      </c>
      <c r="O189" s="578">
        <f t="shared" si="58"/>
        <v>209.09090909090909</v>
      </c>
      <c r="P189" s="578">
        <f t="shared" si="59"/>
        <v>2300</v>
      </c>
      <c r="Q189" s="578">
        <f t="shared" si="71"/>
        <v>575</v>
      </c>
      <c r="R189" s="658">
        <f t="shared" si="61"/>
        <v>120.75</v>
      </c>
      <c r="S189" s="578">
        <f t="shared" si="62"/>
        <v>1236.9818181818182</v>
      </c>
      <c r="T189" s="578">
        <f t="shared" si="63"/>
        <v>5290000</v>
      </c>
      <c r="U189" s="578">
        <f t="shared" si="64"/>
        <v>143.75</v>
      </c>
      <c r="V189" s="578">
        <f t="shared" si="65"/>
        <v>30.1875</v>
      </c>
      <c r="W189" s="578">
        <f t="shared" si="66"/>
        <v>850.42500000000007</v>
      </c>
    </row>
    <row r="190" spans="1:23" ht="15.75" x14ac:dyDescent="0.25">
      <c r="A190" s="129">
        <f t="shared" si="67"/>
        <v>100025</v>
      </c>
      <c r="B190" s="95" t="s">
        <v>82</v>
      </c>
      <c r="C190" s="243">
        <v>3900</v>
      </c>
      <c r="D190" s="577">
        <v>9.4692351979441727E-3</v>
      </c>
      <c r="E190" s="578">
        <f t="shared" si="53"/>
        <v>135514.48955789837</v>
      </c>
      <c r="F190" s="578">
        <f t="shared" si="54"/>
        <v>34.747305014845736</v>
      </c>
      <c r="G190" s="578">
        <f t="shared" si="56"/>
        <v>382.22035516330311</v>
      </c>
      <c r="H190" s="578">
        <f t="shared" si="55"/>
        <v>1490659.3851368821</v>
      </c>
      <c r="I190" s="629">
        <v>2.1239999999999997</v>
      </c>
      <c r="J190" s="24" t="s">
        <v>223</v>
      </c>
      <c r="K190" s="603">
        <v>8.4959999999999987</v>
      </c>
      <c r="L190" s="603">
        <v>9.9959999999999987</v>
      </c>
      <c r="M190" s="610">
        <v>0.21</v>
      </c>
      <c r="N190" s="578">
        <f t="shared" si="57"/>
        <v>135514.48955789837</v>
      </c>
      <c r="O190" s="578">
        <f t="shared" si="58"/>
        <v>354.5454545454545</v>
      </c>
      <c r="P190" s="578">
        <f t="shared" si="59"/>
        <v>3899.9999999999995</v>
      </c>
      <c r="Q190" s="578">
        <f t="shared" si="71"/>
        <v>974.99999999999989</v>
      </c>
      <c r="R190" s="658">
        <f t="shared" si="61"/>
        <v>204.74999999999997</v>
      </c>
      <c r="S190" s="578">
        <f t="shared" si="62"/>
        <v>3544.0363636363627</v>
      </c>
      <c r="T190" s="578">
        <f t="shared" si="63"/>
        <v>15209999.999999998</v>
      </c>
      <c r="U190" s="578">
        <f t="shared" si="64"/>
        <v>243.74999999999997</v>
      </c>
      <c r="V190" s="578">
        <f t="shared" si="65"/>
        <v>51.187499999999993</v>
      </c>
      <c r="W190" s="578">
        <f t="shared" si="66"/>
        <v>2436.5249999999992</v>
      </c>
    </row>
    <row r="191" spans="1:23" ht="15.75" x14ac:dyDescent="0.25">
      <c r="A191" s="129">
        <f t="shared" si="67"/>
        <v>100026</v>
      </c>
      <c r="B191" s="95" t="s">
        <v>84</v>
      </c>
      <c r="C191" s="243">
        <v>3000</v>
      </c>
      <c r="D191" s="577">
        <v>2.0516676262212374E-2</v>
      </c>
      <c r="E191" s="578">
        <f t="shared" si="53"/>
        <v>293614.72737544647</v>
      </c>
      <c r="F191" s="578">
        <f t="shared" si="54"/>
        <v>97.871575791815488</v>
      </c>
      <c r="G191" s="578">
        <f t="shared" si="56"/>
        <v>1076.5873337099704</v>
      </c>
      <c r="H191" s="578">
        <f t="shared" si="55"/>
        <v>3229762.0011299113</v>
      </c>
      <c r="I191" s="629">
        <v>1.1040000000000001</v>
      </c>
      <c r="J191" s="24" t="s">
        <v>223</v>
      </c>
      <c r="K191" s="603">
        <v>4.4160000000000004</v>
      </c>
      <c r="L191" s="603">
        <v>5.9160000000000004</v>
      </c>
      <c r="M191" s="610">
        <v>0.21</v>
      </c>
      <c r="N191" s="578">
        <f t="shared" si="57"/>
        <v>293614.72737544647</v>
      </c>
      <c r="O191" s="578">
        <f t="shared" si="58"/>
        <v>272.72727272727275</v>
      </c>
      <c r="P191" s="578">
        <f t="shared" si="59"/>
        <v>3000</v>
      </c>
      <c r="Q191" s="578">
        <f t="shared" si="71"/>
        <v>750</v>
      </c>
      <c r="R191" s="658">
        <f t="shared" si="61"/>
        <v>157.5</v>
      </c>
      <c r="S191" s="578">
        <f t="shared" si="62"/>
        <v>1613.4545454545457</v>
      </c>
      <c r="T191" s="578">
        <f t="shared" si="63"/>
        <v>9000000</v>
      </c>
      <c r="U191" s="578">
        <f t="shared" si="64"/>
        <v>187.5</v>
      </c>
      <c r="V191" s="578">
        <f t="shared" si="65"/>
        <v>39.375</v>
      </c>
      <c r="W191" s="578">
        <f t="shared" si="66"/>
        <v>1109.25</v>
      </c>
    </row>
    <row r="192" spans="1:23" ht="15.75" x14ac:dyDescent="0.25">
      <c r="A192" s="129">
        <f t="shared" si="67"/>
        <v>100027</v>
      </c>
      <c r="B192" s="95" t="s">
        <v>85</v>
      </c>
      <c r="C192" s="118">
        <v>4100</v>
      </c>
      <c r="D192" s="577">
        <v>7.8910293316201436E-3</v>
      </c>
      <c r="E192" s="578">
        <f t="shared" si="53"/>
        <v>112928.74129824863</v>
      </c>
      <c r="F192" s="578">
        <f t="shared" si="54"/>
        <v>27.543595438597226</v>
      </c>
      <c r="G192" s="578">
        <f t="shared" si="56"/>
        <v>302.97954982456946</v>
      </c>
      <c r="H192" s="578">
        <f t="shared" si="55"/>
        <v>1242216.1542807347</v>
      </c>
      <c r="I192" s="631">
        <v>2.1239999999999997</v>
      </c>
      <c r="J192" s="24" t="s">
        <v>223</v>
      </c>
      <c r="K192" s="604">
        <v>8.4959999999999987</v>
      </c>
      <c r="L192" s="604">
        <v>9.9959999999999987</v>
      </c>
      <c r="M192" s="611">
        <v>0.21</v>
      </c>
      <c r="N192" s="578">
        <f t="shared" si="57"/>
        <v>112928.74129824863</v>
      </c>
      <c r="O192" s="578">
        <f t="shared" si="58"/>
        <v>372.72727272727275</v>
      </c>
      <c r="P192" s="578">
        <f t="shared" si="59"/>
        <v>4100</v>
      </c>
      <c r="Q192" s="578">
        <f t="shared" si="71"/>
        <v>1025</v>
      </c>
      <c r="R192" s="658">
        <f t="shared" si="61"/>
        <v>215.25</v>
      </c>
      <c r="S192" s="578">
        <f t="shared" si="62"/>
        <v>3725.7818181818179</v>
      </c>
      <c r="T192" s="578">
        <f t="shared" si="63"/>
        <v>16810000</v>
      </c>
      <c r="U192" s="578">
        <f t="shared" si="64"/>
        <v>256.25</v>
      </c>
      <c r="V192" s="578">
        <f t="shared" si="65"/>
        <v>53.8125</v>
      </c>
      <c r="W192" s="578">
        <f t="shared" si="66"/>
        <v>2561.4749999999995</v>
      </c>
    </row>
    <row r="193" spans="1:23" ht="15.75" x14ac:dyDescent="0.25">
      <c r="A193" s="129">
        <f>+A192+1</f>
        <v>100028</v>
      </c>
      <c r="B193" s="95" t="s">
        <v>86</v>
      </c>
      <c r="C193" s="245">
        <v>2350</v>
      </c>
      <c r="D193" s="577">
        <v>7.8910293316201436E-3</v>
      </c>
      <c r="E193" s="578">
        <f t="shared" si="53"/>
        <v>112928.74129824863</v>
      </c>
      <c r="F193" s="578">
        <f t="shared" si="54"/>
        <v>48.054783531169626</v>
      </c>
      <c r="G193" s="578">
        <f t="shared" si="56"/>
        <v>528.60261884286592</v>
      </c>
      <c r="H193" s="578">
        <f t="shared" si="55"/>
        <v>1242216.1542807349</v>
      </c>
      <c r="I193" s="633">
        <v>1.2000000000000002</v>
      </c>
      <c r="J193" s="24" t="s">
        <v>216</v>
      </c>
      <c r="K193" s="605">
        <v>24.000000000000004</v>
      </c>
      <c r="L193" s="605">
        <v>25.500000000000004</v>
      </c>
      <c r="M193" s="612">
        <v>0.21</v>
      </c>
      <c r="N193" s="578">
        <f t="shared" si="57"/>
        <v>112928.74129824863</v>
      </c>
      <c r="O193" s="578">
        <f t="shared" si="58"/>
        <v>213.63636363636363</v>
      </c>
      <c r="P193" s="578">
        <f t="shared" si="59"/>
        <v>2350</v>
      </c>
      <c r="Q193" s="578">
        <f t="shared" ref="Q193" si="72">+P193/20</f>
        <v>117.5</v>
      </c>
      <c r="R193" s="658">
        <f t="shared" si="61"/>
        <v>24.675000000000001</v>
      </c>
      <c r="S193" s="578">
        <f t="shared" si="62"/>
        <v>5447.727272727273</v>
      </c>
      <c r="T193" s="578">
        <f t="shared" si="63"/>
        <v>5522500</v>
      </c>
      <c r="U193" s="578">
        <f t="shared" si="64"/>
        <v>29.375</v>
      </c>
      <c r="V193" s="578">
        <f t="shared" si="65"/>
        <v>6.1687500000000002</v>
      </c>
      <c r="W193" s="578">
        <f t="shared" si="66"/>
        <v>749.06250000000011</v>
      </c>
    </row>
    <row r="194" spans="1:23" ht="15.75" x14ac:dyDescent="0.25">
      <c r="A194" s="129">
        <f t="shared" si="67"/>
        <v>100029</v>
      </c>
      <c r="B194" s="95" t="s">
        <v>89</v>
      </c>
      <c r="C194" s="245">
        <v>3000</v>
      </c>
      <c r="D194" s="577">
        <v>6.3128234652961154E-3</v>
      </c>
      <c r="E194" s="578">
        <f t="shared" si="53"/>
        <v>90342.993038598914</v>
      </c>
      <c r="F194" s="578">
        <f t="shared" si="54"/>
        <v>30.114331012866305</v>
      </c>
      <c r="G194" s="578">
        <f t="shared" si="56"/>
        <v>331.25764114152935</v>
      </c>
      <c r="H194" s="578">
        <f t="shared" si="55"/>
        <v>993772.92342458805</v>
      </c>
      <c r="I194" s="633">
        <v>6</v>
      </c>
      <c r="J194" s="24" t="s">
        <v>223</v>
      </c>
      <c r="K194" s="605">
        <v>24</v>
      </c>
      <c r="L194" s="605">
        <v>25.5</v>
      </c>
      <c r="M194" s="612">
        <v>0.21</v>
      </c>
      <c r="N194" s="578">
        <f t="shared" si="57"/>
        <v>90342.993038598914</v>
      </c>
      <c r="O194" s="578">
        <f t="shared" si="58"/>
        <v>272.72727272727275</v>
      </c>
      <c r="P194" s="578">
        <f t="shared" si="59"/>
        <v>3000</v>
      </c>
      <c r="Q194" s="578">
        <f t="shared" ref="Q194" si="73">+P194/4</f>
        <v>750</v>
      </c>
      <c r="R194" s="658">
        <f t="shared" si="61"/>
        <v>157.5</v>
      </c>
      <c r="S194" s="578">
        <f t="shared" si="62"/>
        <v>6954.545454545455</v>
      </c>
      <c r="T194" s="578">
        <f t="shared" si="63"/>
        <v>9000000</v>
      </c>
      <c r="U194" s="578">
        <f t="shared" si="64"/>
        <v>187.5</v>
      </c>
      <c r="V194" s="578">
        <f t="shared" si="65"/>
        <v>39.375</v>
      </c>
      <c r="W194" s="578">
        <f t="shared" si="66"/>
        <v>4781.25</v>
      </c>
    </row>
    <row r="195" spans="1:23" ht="15.75" x14ac:dyDescent="0.25">
      <c r="A195" s="129">
        <f t="shared" si="67"/>
        <v>100030</v>
      </c>
      <c r="B195" s="95" t="s">
        <v>91</v>
      </c>
      <c r="C195" s="245">
        <v>2300</v>
      </c>
      <c r="D195" s="577">
        <v>4.7346175989720863E-3</v>
      </c>
      <c r="E195" s="578">
        <f t="shared" si="53"/>
        <v>67757.244778949185</v>
      </c>
      <c r="F195" s="578">
        <f t="shared" si="54"/>
        <v>29.459671643021384</v>
      </c>
      <c r="G195" s="578">
        <f t="shared" si="56"/>
        <v>324.05638807323521</v>
      </c>
      <c r="H195" s="578">
        <f t="shared" si="55"/>
        <v>745329.69256844104</v>
      </c>
      <c r="I195" s="633">
        <v>3</v>
      </c>
      <c r="J195" s="24" t="s">
        <v>224</v>
      </c>
      <c r="K195" s="605">
        <v>24</v>
      </c>
      <c r="L195" s="605">
        <v>25.5</v>
      </c>
      <c r="M195" s="612">
        <v>0.21</v>
      </c>
      <c r="N195" s="578">
        <f t="shared" si="57"/>
        <v>67757.244778949185</v>
      </c>
      <c r="O195" s="578">
        <f t="shared" si="58"/>
        <v>209.09090909090909</v>
      </c>
      <c r="P195" s="578">
        <f t="shared" si="59"/>
        <v>2300</v>
      </c>
      <c r="Q195" s="578">
        <f>+P195/8</f>
        <v>287.5</v>
      </c>
      <c r="R195" s="658">
        <f t="shared" si="61"/>
        <v>60.375</v>
      </c>
      <c r="S195" s="578">
        <f t="shared" si="62"/>
        <v>5331.818181818182</v>
      </c>
      <c r="T195" s="578">
        <f t="shared" si="63"/>
        <v>5290000</v>
      </c>
      <c r="U195" s="578">
        <f t="shared" si="64"/>
        <v>71.875</v>
      </c>
      <c r="V195" s="578">
        <f t="shared" si="65"/>
        <v>15.09375</v>
      </c>
      <c r="W195" s="578">
        <f t="shared" si="66"/>
        <v>1832.8125</v>
      </c>
    </row>
    <row r="196" spans="1:23" ht="15.75" x14ac:dyDescent="0.25">
      <c r="A196" s="129">
        <f t="shared" si="67"/>
        <v>100031</v>
      </c>
      <c r="B196" s="95" t="s">
        <v>93</v>
      </c>
      <c r="C196" s="245">
        <v>3800</v>
      </c>
      <c r="D196" s="577">
        <v>6.3128234652961154E-3</v>
      </c>
      <c r="E196" s="578">
        <f t="shared" si="53"/>
        <v>90342.993038598914</v>
      </c>
      <c r="F196" s="578">
        <f t="shared" si="54"/>
        <v>23.774471852262874</v>
      </c>
      <c r="G196" s="578">
        <f t="shared" si="56"/>
        <v>261.51919037489159</v>
      </c>
      <c r="H196" s="578">
        <f t="shared" si="55"/>
        <v>993772.92342458805</v>
      </c>
      <c r="I196" s="633">
        <v>3.5999999999999996</v>
      </c>
      <c r="J196" s="34" t="s">
        <v>233</v>
      </c>
      <c r="K196" s="605">
        <v>25.199999999999996</v>
      </c>
      <c r="L196" s="605">
        <v>26.699999999999996</v>
      </c>
      <c r="M196" s="612">
        <v>0.21</v>
      </c>
      <c r="N196" s="578">
        <f t="shared" si="57"/>
        <v>90342.993038598914</v>
      </c>
      <c r="O196" s="578">
        <f t="shared" si="58"/>
        <v>345.45454545454544</v>
      </c>
      <c r="P196" s="578">
        <f t="shared" si="59"/>
        <v>3800</v>
      </c>
      <c r="Q196" s="578">
        <f>+P195/7</f>
        <v>328.57142857142856</v>
      </c>
      <c r="R196" s="658">
        <f t="shared" si="61"/>
        <v>69</v>
      </c>
      <c r="S196" s="578">
        <f t="shared" si="62"/>
        <v>9223.6363636363621</v>
      </c>
      <c r="T196" s="578">
        <f t="shared" si="63"/>
        <v>14440000</v>
      </c>
      <c r="U196" s="578">
        <f t="shared" si="64"/>
        <v>82.142857142857139</v>
      </c>
      <c r="V196" s="578">
        <f t="shared" si="65"/>
        <v>17.25</v>
      </c>
      <c r="W196" s="578">
        <f t="shared" si="66"/>
        <v>2193.2142857142853</v>
      </c>
    </row>
    <row r="197" spans="1:23" ht="15.75" x14ac:dyDescent="0.25">
      <c r="A197" s="129">
        <f t="shared" si="67"/>
        <v>100032</v>
      </c>
      <c r="B197" s="95" t="s">
        <v>95</v>
      </c>
      <c r="C197" s="245">
        <v>4000</v>
      </c>
      <c r="D197" s="577">
        <v>6.3128234652961154E-3</v>
      </c>
      <c r="E197" s="578">
        <f t="shared" si="53"/>
        <v>90342.993038598914</v>
      </c>
      <c r="F197" s="578">
        <f t="shared" si="54"/>
        <v>22.58574825964973</v>
      </c>
      <c r="G197" s="578">
        <f t="shared" si="56"/>
        <v>248.44323085614704</v>
      </c>
      <c r="H197" s="578">
        <f t="shared" si="55"/>
        <v>993772.92342458817</v>
      </c>
      <c r="I197" s="633">
        <v>10</v>
      </c>
      <c r="J197" s="34" t="s">
        <v>234</v>
      </c>
      <c r="K197" s="605">
        <v>20</v>
      </c>
      <c r="L197" s="605">
        <v>21.5</v>
      </c>
      <c r="M197" s="612">
        <v>0.21</v>
      </c>
      <c r="N197" s="578">
        <f t="shared" si="57"/>
        <v>90342.993038598914</v>
      </c>
      <c r="O197" s="578">
        <f t="shared" si="58"/>
        <v>363.63636363636357</v>
      </c>
      <c r="P197" s="578">
        <f t="shared" si="59"/>
        <v>3999.9999999999991</v>
      </c>
      <c r="Q197" s="578">
        <f>+P196/2</f>
        <v>1900</v>
      </c>
      <c r="R197" s="658">
        <f t="shared" si="61"/>
        <v>399</v>
      </c>
      <c r="S197" s="578">
        <f t="shared" si="62"/>
        <v>7818.1818181818171</v>
      </c>
      <c r="T197" s="578">
        <f t="shared" si="63"/>
        <v>15999999.999999996</v>
      </c>
      <c r="U197" s="578">
        <f t="shared" si="64"/>
        <v>475</v>
      </c>
      <c r="V197" s="578">
        <f t="shared" si="65"/>
        <v>99.75</v>
      </c>
      <c r="W197" s="578">
        <f t="shared" si="66"/>
        <v>10212.5</v>
      </c>
    </row>
    <row r="198" spans="1:23" ht="15.75" x14ac:dyDescent="0.25">
      <c r="A198" s="129">
        <f>+A197+1</f>
        <v>100033</v>
      </c>
      <c r="B198" s="96" t="s">
        <v>22</v>
      </c>
      <c r="C198" s="245">
        <v>1910</v>
      </c>
      <c r="D198" s="577">
        <v>9.0314908671449881E-2</v>
      </c>
      <c r="E198" s="578">
        <f t="shared" si="53"/>
        <v>1292499.1820603309</v>
      </c>
      <c r="F198" s="578">
        <f t="shared" si="54"/>
        <v>676.70114243996386</v>
      </c>
      <c r="G198" s="578">
        <f t="shared" si="56"/>
        <v>7443.712566839602</v>
      </c>
      <c r="H198" s="578">
        <f t="shared" si="55"/>
        <v>14217491.00266364</v>
      </c>
      <c r="I198" s="633">
        <v>6.9000000000000006E-2</v>
      </c>
      <c r="J198" s="34" t="s">
        <v>216</v>
      </c>
      <c r="K198" s="605">
        <v>1.3800000000000001</v>
      </c>
      <c r="L198" s="605">
        <v>2.13</v>
      </c>
      <c r="M198" s="612">
        <v>1.2000000000000002E-2</v>
      </c>
      <c r="N198" s="578">
        <f t="shared" si="57"/>
        <v>1292499.1820603309</v>
      </c>
      <c r="O198" s="578">
        <f t="shared" si="58"/>
        <v>173.63636363636363</v>
      </c>
      <c r="P198" s="578">
        <f t="shared" si="59"/>
        <v>1910</v>
      </c>
      <c r="Q198" s="578">
        <f t="shared" ref="Q198:Q199" si="74">+P198/20</f>
        <v>95.5</v>
      </c>
      <c r="R198" s="658">
        <f t="shared" si="61"/>
        <v>1.1460000000000001</v>
      </c>
      <c r="S198" s="578">
        <f t="shared" si="62"/>
        <v>369.84545454545452</v>
      </c>
      <c r="T198" s="578">
        <f t="shared" si="63"/>
        <v>3648100</v>
      </c>
      <c r="U198" s="578">
        <f t="shared" si="64"/>
        <v>23.875</v>
      </c>
      <c r="V198" s="578">
        <f t="shared" si="65"/>
        <v>0.28650000000000003</v>
      </c>
      <c r="W198" s="578">
        <f t="shared" si="66"/>
        <v>50.853749999999998</v>
      </c>
    </row>
    <row r="199" spans="1:23" ht="15.75" x14ac:dyDescent="0.25">
      <c r="A199" s="129">
        <f t="shared" si="67"/>
        <v>100034</v>
      </c>
      <c r="B199" s="97" t="s">
        <v>23</v>
      </c>
      <c r="C199" s="245">
        <v>2170</v>
      </c>
      <c r="D199" s="577">
        <v>8.426193680204401E-2</v>
      </c>
      <c r="E199" s="578">
        <f t="shared" si="53"/>
        <v>1205874.9324726833</v>
      </c>
      <c r="F199" s="578">
        <f t="shared" si="54"/>
        <v>555.70273385837936</v>
      </c>
      <c r="G199" s="578">
        <f t="shared" si="56"/>
        <v>6112.730072442173</v>
      </c>
      <c r="H199" s="578">
        <f t="shared" si="55"/>
        <v>13264624.257199515</v>
      </c>
      <c r="I199" s="633">
        <v>7.1999999999999995E-2</v>
      </c>
      <c r="J199" s="34" t="s">
        <v>216</v>
      </c>
      <c r="K199" s="605">
        <v>1.44</v>
      </c>
      <c r="L199" s="605">
        <v>2.19</v>
      </c>
      <c r="M199" s="612">
        <v>1.2000000000000002E-2</v>
      </c>
      <c r="N199" s="578">
        <f t="shared" si="57"/>
        <v>1205874.9324726833</v>
      </c>
      <c r="O199" s="578">
        <f t="shared" si="58"/>
        <v>197.27272727272728</v>
      </c>
      <c r="P199" s="578">
        <f t="shared" si="59"/>
        <v>2170</v>
      </c>
      <c r="Q199" s="578">
        <f t="shared" si="74"/>
        <v>108.5</v>
      </c>
      <c r="R199" s="658">
        <f t="shared" si="61"/>
        <v>1.3020000000000003</v>
      </c>
      <c r="S199" s="578">
        <f t="shared" si="62"/>
        <v>432.02727272727276</v>
      </c>
      <c r="T199" s="578">
        <f t="shared" si="63"/>
        <v>4708900</v>
      </c>
      <c r="U199" s="578">
        <f t="shared" si="64"/>
        <v>27.125</v>
      </c>
      <c r="V199" s="578">
        <f t="shared" si="65"/>
        <v>0.32550000000000007</v>
      </c>
      <c r="W199" s="578">
        <f t="shared" si="66"/>
        <v>59.403749999999995</v>
      </c>
    </row>
    <row r="200" spans="1:23" ht="15.75" x14ac:dyDescent="0.25">
      <c r="A200" s="129">
        <f t="shared" si="67"/>
        <v>100035</v>
      </c>
      <c r="B200" s="97" t="s">
        <v>24</v>
      </c>
      <c r="C200" s="245">
        <v>1670</v>
      </c>
      <c r="D200" s="577">
        <v>6.7433738076879732E-2</v>
      </c>
      <c r="E200" s="578">
        <f t="shared" si="53"/>
        <v>965046.11021313944</v>
      </c>
      <c r="F200" s="578">
        <f t="shared" si="54"/>
        <v>577.87192228331708</v>
      </c>
      <c r="G200" s="578">
        <f t="shared" si="56"/>
        <v>6356.5911451164875</v>
      </c>
      <c r="H200" s="578">
        <f t="shared" si="55"/>
        <v>10615507.212344535</v>
      </c>
      <c r="I200" s="633">
        <v>4.8000000000000001E-2</v>
      </c>
      <c r="J200" s="34" t="s">
        <v>227</v>
      </c>
      <c r="K200" s="605">
        <v>0.86399999999999999</v>
      </c>
      <c r="L200" s="605">
        <v>1.8639999999999999</v>
      </c>
      <c r="M200" s="612">
        <v>0.03</v>
      </c>
      <c r="N200" s="578">
        <f t="shared" si="57"/>
        <v>965046.11021313944</v>
      </c>
      <c r="O200" s="578">
        <f t="shared" si="58"/>
        <v>151.81818181818181</v>
      </c>
      <c r="P200" s="578">
        <f t="shared" si="59"/>
        <v>1670</v>
      </c>
      <c r="Q200" s="578">
        <f>+P200/18</f>
        <v>92.777777777777771</v>
      </c>
      <c r="R200" s="658">
        <f t="shared" si="61"/>
        <v>2.7833333333333332</v>
      </c>
      <c r="S200" s="578">
        <f t="shared" si="62"/>
        <v>282.98909090909086</v>
      </c>
      <c r="T200" s="578">
        <f t="shared" si="63"/>
        <v>2788900</v>
      </c>
      <c r="U200" s="578">
        <f t="shared" si="64"/>
        <v>23.194444444444443</v>
      </c>
      <c r="V200" s="578">
        <f t="shared" si="65"/>
        <v>0.6958333333333333</v>
      </c>
      <c r="W200" s="578">
        <f t="shared" si="66"/>
        <v>43.234444444444442</v>
      </c>
    </row>
    <row r="201" spans="1:23" ht="15.75" x14ac:dyDescent="0.25">
      <c r="A201" s="129">
        <f t="shared" si="67"/>
        <v>100036</v>
      </c>
      <c r="B201" s="97" t="s">
        <v>25</v>
      </c>
      <c r="C201" s="245">
        <v>1020</v>
      </c>
      <c r="D201" s="577">
        <v>3.3307666560733154E-2</v>
      </c>
      <c r="E201" s="578">
        <f t="shared" si="53"/>
        <v>476666.94701198023</v>
      </c>
      <c r="F201" s="578">
        <f t="shared" si="54"/>
        <v>467.32053628625511</v>
      </c>
      <c r="G201" s="578">
        <f t="shared" si="56"/>
        <v>5140.5258991488063</v>
      </c>
      <c r="H201" s="578">
        <f t="shared" si="55"/>
        <v>5243336.4171317825</v>
      </c>
      <c r="I201" s="633">
        <v>6.5000000000000002E-2</v>
      </c>
      <c r="J201" s="34" t="s">
        <v>216</v>
      </c>
      <c r="K201" s="605">
        <v>1.3</v>
      </c>
      <c r="L201" s="605">
        <v>2.0499999999999998</v>
      </c>
      <c r="M201" s="612">
        <v>1.2000000000000002E-2</v>
      </c>
      <c r="N201" s="578">
        <f t="shared" si="57"/>
        <v>476666.94701198023</v>
      </c>
      <c r="O201" s="578">
        <f t="shared" si="58"/>
        <v>92.727272727272734</v>
      </c>
      <c r="P201" s="578">
        <f t="shared" si="59"/>
        <v>1020.0000000000001</v>
      </c>
      <c r="Q201" s="578">
        <f t="shared" ref="Q201" si="75">+P201/20</f>
        <v>51.000000000000007</v>
      </c>
      <c r="R201" s="658">
        <f t="shared" si="61"/>
        <v>0.61200000000000021</v>
      </c>
      <c r="S201" s="578">
        <f t="shared" si="62"/>
        <v>190.09090909090909</v>
      </c>
      <c r="T201" s="578">
        <f t="shared" si="63"/>
        <v>1040400.0000000001</v>
      </c>
      <c r="U201" s="578">
        <f t="shared" si="64"/>
        <v>12.750000000000002</v>
      </c>
      <c r="V201" s="578">
        <f t="shared" si="65"/>
        <v>0.15300000000000005</v>
      </c>
      <c r="W201" s="578">
        <f t="shared" si="66"/>
        <v>26.137500000000003</v>
      </c>
    </row>
    <row r="202" spans="1:23" ht="15.75" x14ac:dyDescent="0.25">
      <c r="A202" s="129">
        <f t="shared" si="67"/>
        <v>100037</v>
      </c>
      <c r="B202" s="97" t="s">
        <v>26</v>
      </c>
      <c r="C202" s="245">
        <v>1430</v>
      </c>
      <c r="D202" s="577">
        <v>3.6844741548338569E-2</v>
      </c>
      <c r="E202" s="578">
        <f t="shared" si="53"/>
        <v>527286.12601150724</v>
      </c>
      <c r="F202" s="578">
        <f t="shared" si="54"/>
        <v>368.73155665140365</v>
      </c>
      <c r="G202" s="578">
        <f t="shared" si="56"/>
        <v>4056.0471231654401</v>
      </c>
      <c r="H202" s="578">
        <f t="shared" si="55"/>
        <v>5800147.3861265797</v>
      </c>
      <c r="I202" s="633">
        <v>8.5999999999999993E-2</v>
      </c>
      <c r="J202" s="34" t="s">
        <v>214</v>
      </c>
      <c r="K202" s="605">
        <v>1.032</v>
      </c>
      <c r="L202" s="605">
        <v>1.782</v>
      </c>
      <c r="M202" s="612">
        <v>1.2000000000000002E-2</v>
      </c>
      <c r="N202" s="578">
        <f t="shared" si="57"/>
        <v>527286.12601150724</v>
      </c>
      <c r="O202" s="578">
        <f t="shared" si="58"/>
        <v>130</v>
      </c>
      <c r="P202" s="578">
        <f t="shared" si="59"/>
        <v>1430</v>
      </c>
      <c r="Q202" s="578">
        <f>+P202/12</f>
        <v>119.16666666666667</v>
      </c>
      <c r="R202" s="658">
        <f t="shared" si="61"/>
        <v>1.4300000000000004</v>
      </c>
      <c r="S202" s="578">
        <f t="shared" si="62"/>
        <v>231.66</v>
      </c>
      <c r="T202" s="578">
        <f t="shared" si="63"/>
        <v>2044900</v>
      </c>
      <c r="U202" s="578">
        <f t="shared" si="64"/>
        <v>29.791666666666668</v>
      </c>
      <c r="V202" s="578">
        <f t="shared" si="65"/>
        <v>0.3575000000000001</v>
      </c>
      <c r="W202" s="578">
        <f t="shared" si="66"/>
        <v>53.088750000000005</v>
      </c>
    </row>
    <row r="203" spans="1:23" ht="15.75" x14ac:dyDescent="0.25">
      <c r="A203" s="129">
        <f t="shared" si="67"/>
        <v>100038</v>
      </c>
      <c r="B203" s="97" t="s">
        <v>27</v>
      </c>
      <c r="C203" s="245">
        <v>13260</v>
      </c>
      <c r="D203" s="577">
        <v>3.0684977748644777E-2</v>
      </c>
      <c r="E203" s="578">
        <f t="shared" si="53"/>
        <v>439133.57412495668</v>
      </c>
      <c r="F203" s="578">
        <f t="shared" si="54"/>
        <v>33.117162452862495</v>
      </c>
      <c r="G203" s="578">
        <f t="shared" si="56"/>
        <v>364.28878698148742</v>
      </c>
      <c r="H203" s="578">
        <f t="shared" si="55"/>
        <v>4830469.3153745234</v>
      </c>
      <c r="I203" s="633">
        <v>0.53500000000000003</v>
      </c>
      <c r="J203" s="34" t="s">
        <v>213</v>
      </c>
      <c r="K203" s="605">
        <v>12.84</v>
      </c>
      <c r="L203" s="605">
        <v>14.34</v>
      </c>
      <c r="M203" s="612">
        <v>0.21</v>
      </c>
      <c r="N203" s="578">
        <f t="shared" si="57"/>
        <v>439133.57412495668</v>
      </c>
      <c r="O203" s="578">
        <f t="shared" si="58"/>
        <v>1205.4545454545455</v>
      </c>
      <c r="P203" s="578">
        <f t="shared" si="59"/>
        <v>13260</v>
      </c>
      <c r="Q203" s="578">
        <f>+P203/24</f>
        <v>552.5</v>
      </c>
      <c r="R203" s="658">
        <f t="shared" si="61"/>
        <v>116.02499999999999</v>
      </c>
      <c r="S203" s="578">
        <f t="shared" si="62"/>
        <v>17286.218181818182</v>
      </c>
      <c r="T203" s="578">
        <f t="shared" si="63"/>
        <v>175827600</v>
      </c>
      <c r="U203" s="578">
        <f t="shared" si="64"/>
        <v>138.125</v>
      </c>
      <c r="V203" s="578">
        <f t="shared" si="65"/>
        <v>29.006249999999998</v>
      </c>
      <c r="W203" s="578">
        <f t="shared" si="66"/>
        <v>1980.7125000000001</v>
      </c>
    </row>
    <row r="204" spans="1:23" ht="15.75" x14ac:dyDescent="0.25">
      <c r="A204" s="129">
        <f t="shared" si="67"/>
        <v>100039</v>
      </c>
      <c r="B204" s="97" t="s">
        <v>28</v>
      </c>
      <c r="C204" s="245">
        <v>2840</v>
      </c>
      <c r="D204" s="577">
        <v>1.7045228335214935E-2</v>
      </c>
      <c r="E204" s="578">
        <f t="shared" si="53"/>
        <v>243934.73907438322</v>
      </c>
      <c r="F204" s="578">
        <f t="shared" si="54"/>
        <v>85.892513758585636</v>
      </c>
      <c r="G204" s="578">
        <f t="shared" si="56"/>
        <v>944.81765134444197</v>
      </c>
      <c r="H204" s="578">
        <f t="shared" si="55"/>
        <v>2683282.129818215</v>
      </c>
      <c r="I204" s="633">
        <v>9.2999999999999999E-2</v>
      </c>
      <c r="J204" s="34" t="s">
        <v>228</v>
      </c>
      <c r="K204" s="605">
        <v>4.4640000000000004</v>
      </c>
      <c r="L204" s="605">
        <v>5.9640000000000004</v>
      </c>
      <c r="M204" s="612">
        <v>0.21</v>
      </c>
      <c r="N204" s="578">
        <f t="shared" si="57"/>
        <v>243934.73907438322</v>
      </c>
      <c r="O204" s="578">
        <f t="shared" si="58"/>
        <v>258.18181818181819</v>
      </c>
      <c r="P204" s="578">
        <f t="shared" si="59"/>
        <v>2840</v>
      </c>
      <c r="Q204" s="578">
        <f>+P204/48</f>
        <v>59.166666666666664</v>
      </c>
      <c r="R204" s="658">
        <f t="shared" si="61"/>
        <v>12.424999999999999</v>
      </c>
      <c r="S204" s="578">
        <f t="shared" si="62"/>
        <v>1539.7963636363638</v>
      </c>
      <c r="T204" s="578">
        <f t="shared" si="63"/>
        <v>8065600</v>
      </c>
      <c r="U204" s="578">
        <f t="shared" si="64"/>
        <v>14.791666666666666</v>
      </c>
      <c r="V204" s="578">
        <f t="shared" si="65"/>
        <v>3.1062499999999997</v>
      </c>
      <c r="W204" s="578">
        <f t="shared" si="66"/>
        <v>88.217500000000001</v>
      </c>
    </row>
    <row r="205" spans="1:23" ht="15.75" x14ac:dyDescent="0.25">
      <c r="A205" s="129">
        <f t="shared" si="67"/>
        <v>100040</v>
      </c>
      <c r="B205" s="97" t="s">
        <v>29</v>
      </c>
      <c r="C205" s="245">
        <v>3800</v>
      </c>
      <c r="D205" s="577">
        <v>1.5376328238439485E-2</v>
      </c>
      <c r="E205" s="578">
        <f t="shared" si="53"/>
        <v>220051.06314807897</v>
      </c>
      <c r="F205" s="578">
        <f t="shared" si="54"/>
        <v>57.908174512652359</v>
      </c>
      <c r="G205" s="578">
        <f t="shared" si="56"/>
        <v>636.98991963917592</v>
      </c>
      <c r="H205" s="578">
        <f t="shared" si="55"/>
        <v>2420561.6946288687</v>
      </c>
      <c r="I205" s="633">
        <v>0.05</v>
      </c>
      <c r="J205" s="34" t="s">
        <v>222</v>
      </c>
      <c r="K205" s="605">
        <v>5</v>
      </c>
      <c r="L205" s="605">
        <v>6.5</v>
      </c>
      <c r="M205" s="612">
        <v>0.21</v>
      </c>
      <c r="N205" s="578">
        <f t="shared" si="57"/>
        <v>220051.06314807897</v>
      </c>
      <c r="O205" s="578">
        <f t="shared" si="58"/>
        <v>345.4545454545455</v>
      </c>
      <c r="P205" s="578">
        <f t="shared" si="59"/>
        <v>3800.0000000000005</v>
      </c>
      <c r="Q205" s="578">
        <f>+P205/100</f>
        <v>38.000000000000007</v>
      </c>
      <c r="R205" s="658">
        <f t="shared" si="61"/>
        <v>7.9800000000000013</v>
      </c>
      <c r="S205" s="578">
        <f t="shared" si="62"/>
        <v>2245.454545454546</v>
      </c>
      <c r="T205" s="578">
        <f t="shared" si="63"/>
        <v>14440000.000000002</v>
      </c>
      <c r="U205" s="578">
        <f t="shared" si="64"/>
        <v>9.5000000000000018</v>
      </c>
      <c r="V205" s="578">
        <f t="shared" si="65"/>
        <v>1.9950000000000003</v>
      </c>
      <c r="W205" s="578">
        <f t="shared" si="66"/>
        <v>61.750000000000014</v>
      </c>
    </row>
    <row r="206" spans="1:23" x14ac:dyDescent="0.25">
      <c r="A206" s="129">
        <f>+A205+1</f>
        <v>100041</v>
      </c>
      <c r="B206" s="97" t="s">
        <v>106</v>
      </c>
      <c r="C206" s="247">
        <v>3440</v>
      </c>
      <c r="D206" s="577">
        <v>1.739718356852692E-2</v>
      </c>
      <c r="E206" s="578">
        <f t="shared" si="53"/>
        <v>248971.58025453045</v>
      </c>
      <c r="F206" s="578">
        <f t="shared" si="54"/>
        <v>72.375459376316996</v>
      </c>
      <c r="G206" s="578">
        <f t="shared" si="56"/>
        <v>796.13005313948702</v>
      </c>
      <c r="H206" s="578">
        <f t="shared" si="55"/>
        <v>2738687.3827998354</v>
      </c>
      <c r="I206" s="635">
        <v>0.4</v>
      </c>
      <c r="J206" s="38" t="s">
        <v>213</v>
      </c>
      <c r="K206" s="606">
        <v>9.6000000000000014</v>
      </c>
      <c r="L206" s="606">
        <v>11.100000000000001</v>
      </c>
      <c r="M206" s="613">
        <v>0.21</v>
      </c>
      <c r="N206" s="578">
        <f t="shared" si="57"/>
        <v>248971.58025453045</v>
      </c>
      <c r="O206" s="578">
        <f t="shared" si="58"/>
        <v>312.72727272727269</v>
      </c>
      <c r="P206" s="578">
        <f t="shared" si="59"/>
        <v>3439.9999999999995</v>
      </c>
      <c r="Q206" s="578">
        <f>+P206/44</f>
        <v>78.181818181818173</v>
      </c>
      <c r="R206" s="658">
        <f t="shared" si="61"/>
        <v>16.418181818181814</v>
      </c>
      <c r="S206" s="578">
        <f t="shared" si="62"/>
        <v>3471.2727272727275</v>
      </c>
      <c r="T206" s="578">
        <f t="shared" si="63"/>
        <v>11833599.999999998</v>
      </c>
      <c r="U206" s="578">
        <f t="shared" si="64"/>
        <v>19.545454545454543</v>
      </c>
      <c r="V206" s="578">
        <f t="shared" si="65"/>
        <v>4.1045454545454536</v>
      </c>
      <c r="W206" s="578">
        <f t="shared" si="66"/>
        <v>216.95454545454547</v>
      </c>
    </row>
    <row r="207" spans="1:23" x14ac:dyDescent="0.25">
      <c r="A207" s="129">
        <f t="shared" si="67"/>
        <v>100042</v>
      </c>
      <c r="B207" s="97" t="s">
        <v>106</v>
      </c>
      <c r="C207" s="247">
        <v>2060</v>
      </c>
      <c r="D207" s="577">
        <v>2.0415136022876802E-2</v>
      </c>
      <c r="E207" s="578">
        <f t="shared" si="53"/>
        <v>292161.5821725335</v>
      </c>
      <c r="F207" s="578">
        <f t="shared" si="54"/>
        <v>141.82601076336579</v>
      </c>
      <c r="G207" s="578">
        <f t="shared" si="56"/>
        <v>1560.0861183970237</v>
      </c>
      <c r="H207" s="578">
        <f t="shared" si="55"/>
        <v>3213777.4038978689</v>
      </c>
      <c r="I207" s="635">
        <v>0.2</v>
      </c>
      <c r="J207" s="38" t="s">
        <v>228</v>
      </c>
      <c r="K207" s="606">
        <v>9.6000000000000014</v>
      </c>
      <c r="L207" s="606">
        <v>11.100000000000001</v>
      </c>
      <c r="M207" s="613">
        <v>0.21</v>
      </c>
      <c r="N207" s="578">
        <f t="shared" si="57"/>
        <v>292161.5821725335</v>
      </c>
      <c r="O207" s="578">
        <f t="shared" si="58"/>
        <v>187.27272727272725</v>
      </c>
      <c r="P207" s="578">
        <f t="shared" si="59"/>
        <v>2060</v>
      </c>
      <c r="Q207" s="578">
        <f>+P207/48</f>
        <v>42.916666666666664</v>
      </c>
      <c r="R207" s="658">
        <f t="shared" si="61"/>
        <v>9.0124999999999993</v>
      </c>
      <c r="S207" s="578">
        <f t="shared" si="62"/>
        <v>2078.727272727273</v>
      </c>
      <c r="T207" s="578">
        <f t="shared" si="63"/>
        <v>4243600</v>
      </c>
      <c r="U207" s="578">
        <f t="shared" si="64"/>
        <v>10.729166666666666</v>
      </c>
      <c r="V207" s="578">
        <f t="shared" si="65"/>
        <v>2.2531249999999998</v>
      </c>
      <c r="W207" s="578">
        <f t="shared" si="66"/>
        <v>119.09375000000001</v>
      </c>
    </row>
    <row r="208" spans="1:23" x14ac:dyDescent="0.25">
      <c r="A208" s="129">
        <f t="shared" si="67"/>
        <v>100043</v>
      </c>
      <c r="B208" s="97" t="s">
        <v>112</v>
      </c>
      <c r="C208" s="247">
        <v>2810</v>
      </c>
      <c r="D208" s="577">
        <v>1.0509866680215489E-2</v>
      </c>
      <c r="E208" s="578">
        <f t="shared" si="53"/>
        <v>150406.99578358521</v>
      </c>
      <c r="F208" s="578">
        <f t="shared" si="54"/>
        <v>53.525621275297226</v>
      </c>
      <c r="G208" s="578">
        <f t="shared" si="56"/>
        <v>588.78183402826949</v>
      </c>
      <c r="H208" s="578">
        <f t="shared" si="55"/>
        <v>1654476.9536194373</v>
      </c>
      <c r="I208" s="635">
        <v>0.2</v>
      </c>
      <c r="J208" s="38" t="s">
        <v>228</v>
      </c>
      <c r="K208" s="606">
        <v>9.6000000000000014</v>
      </c>
      <c r="L208" s="606">
        <v>11.100000000000001</v>
      </c>
      <c r="M208" s="613">
        <v>0.21</v>
      </c>
      <c r="N208" s="578">
        <f t="shared" si="57"/>
        <v>150406.99578358521</v>
      </c>
      <c r="O208" s="578">
        <f t="shared" si="58"/>
        <v>255.45454545454547</v>
      </c>
      <c r="P208" s="578">
        <f t="shared" si="59"/>
        <v>2810</v>
      </c>
      <c r="Q208" s="578">
        <f>+P208/48</f>
        <v>58.541666666666664</v>
      </c>
      <c r="R208" s="658">
        <f t="shared" si="61"/>
        <v>12.293749999999999</v>
      </c>
      <c r="S208" s="578">
        <f t="shared" si="62"/>
        <v>2835.545454545455</v>
      </c>
      <c r="T208" s="578">
        <f t="shared" si="63"/>
        <v>7896100</v>
      </c>
      <c r="U208" s="578">
        <f t="shared" si="64"/>
        <v>14.635416666666666</v>
      </c>
      <c r="V208" s="578">
        <f t="shared" si="65"/>
        <v>3.0734374999999998</v>
      </c>
      <c r="W208" s="578">
        <f t="shared" si="66"/>
        <v>162.45312500000003</v>
      </c>
    </row>
    <row r="209" spans="1:23" x14ac:dyDescent="0.25">
      <c r="A209" s="129">
        <f t="shared" si="67"/>
        <v>100044</v>
      </c>
      <c r="B209" s="97" t="s">
        <v>113</v>
      </c>
      <c r="C209" s="247">
        <v>4140</v>
      </c>
      <c r="D209" s="577">
        <v>8.5867846919207482E-3</v>
      </c>
      <c r="E209" s="578">
        <f t="shared" si="53"/>
        <v>122885.71570403568</v>
      </c>
      <c r="F209" s="578">
        <f t="shared" si="54"/>
        <v>29.682540025129391</v>
      </c>
      <c r="G209" s="578">
        <f t="shared" si="56"/>
        <v>326.50794027642331</v>
      </c>
      <c r="H209" s="578">
        <f t="shared" si="55"/>
        <v>1351742.8727443926</v>
      </c>
      <c r="I209" s="635">
        <v>0.38</v>
      </c>
      <c r="J209" s="38" t="s">
        <v>213</v>
      </c>
      <c r="K209" s="606">
        <v>9.120000000000001</v>
      </c>
      <c r="L209" s="606">
        <v>10.620000000000001</v>
      </c>
      <c r="M209" s="613">
        <v>0.21</v>
      </c>
      <c r="N209" s="578">
        <f t="shared" si="57"/>
        <v>122885.71570403568</v>
      </c>
      <c r="O209" s="578">
        <f t="shared" si="58"/>
        <v>376.36363636363637</v>
      </c>
      <c r="P209" s="578">
        <f t="shared" si="59"/>
        <v>4140</v>
      </c>
      <c r="Q209" s="578">
        <f>+P209/24</f>
        <v>172.5</v>
      </c>
      <c r="R209" s="658">
        <f t="shared" si="61"/>
        <v>36.225000000000001</v>
      </c>
      <c r="S209" s="578">
        <f t="shared" si="62"/>
        <v>3996.9818181818187</v>
      </c>
      <c r="T209" s="578">
        <f t="shared" si="63"/>
        <v>17139600</v>
      </c>
      <c r="U209" s="578">
        <f t="shared" si="64"/>
        <v>43.125</v>
      </c>
      <c r="V209" s="578">
        <f t="shared" si="65"/>
        <v>9.0562500000000004</v>
      </c>
      <c r="W209" s="578">
        <f t="shared" si="66"/>
        <v>457.98750000000007</v>
      </c>
    </row>
    <row r="210" spans="1:23" x14ac:dyDescent="0.25">
      <c r="A210" s="129">
        <f t="shared" si="67"/>
        <v>100045</v>
      </c>
      <c r="B210" s="97" t="s">
        <v>116</v>
      </c>
      <c r="C210" s="247">
        <v>2150</v>
      </c>
      <c r="D210" s="577">
        <v>9.3749231666469882E-3</v>
      </c>
      <c r="E210" s="578">
        <f t="shared" si="53"/>
        <v>134164.7874422321</v>
      </c>
      <c r="F210" s="578">
        <f t="shared" si="54"/>
        <v>62.402226717317255</v>
      </c>
      <c r="G210" s="578">
        <f t="shared" si="56"/>
        <v>686.42449389048977</v>
      </c>
      <c r="H210" s="578">
        <f t="shared" si="55"/>
        <v>1475812.6618645531</v>
      </c>
      <c r="I210" s="635">
        <v>0.2</v>
      </c>
      <c r="J210" s="38" t="s">
        <v>228</v>
      </c>
      <c r="K210" s="606">
        <v>9.6000000000000014</v>
      </c>
      <c r="L210" s="606">
        <v>11.100000000000001</v>
      </c>
      <c r="M210" s="613">
        <v>0.21</v>
      </c>
      <c r="N210" s="578">
        <f t="shared" si="57"/>
        <v>134164.7874422321</v>
      </c>
      <c r="O210" s="578">
        <f t="shared" si="58"/>
        <v>195.45454545454547</v>
      </c>
      <c r="P210" s="578">
        <f t="shared" si="59"/>
        <v>2150</v>
      </c>
      <c r="Q210" s="578">
        <f t="shared" ref="Q210:Q211" si="76">+P210/48</f>
        <v>44.791666666666664</v>
      </c>
      <c r="R210" s="658">
        <f t="shared" si="61"/>
        <v>9.40625</v>
      </c>
      <c r="S210" s="578">
        <f t="shared" si="62"/>
        <v>2169.545454545455</v>
      </c>
      <c r="T210" s="578">
        <f t="shared" si="63"/>
        <v>4622500</v>
      </c>
      <c r="U210" s="578">
        <f t="shared" si="64"/>
        <v>11.197916666666666</v>
      </c>
      <c r="V210" s="578">
        <f t="shared" si="65"/>
        <v>2.3515625</v>
      </c>
      <c r="W210" s="578">
        <f t="shared" si="66"/>
        <v>124.29687500000001</v>
      </c>
    </row>
    <row r="211" spans="1:23" x14ac:dyDescent="0.25">
      <c r="A211" s="129">
        <f t="shared" si="67"/>
        <v>100046</v>
      </c>
      <c r="B211" s="97" t="s">
        <v>118</v>
      </c>
      <c r="C211" s="247">
        <v>2150</v>
      </c>
      <c r="D211" s="577">
        <v>7.5557000599249403E-3</v>
      </c>
      <c r="E211" s="578">
        <f t="shared" si="53"/>
        <v>108129.8347194509</v>
      </c>
      <c r="F211" s="578">
        <f t="shared" si="54"/>
        <v>50.292946381139949</v>
      </c>
      <c r="G211" s="578">
        <f t="shared" si="56"/>
        <v>553.22241019253943</v>
      </c>
      <c r="H211" s="578">
        <f t="shared" si="55"/>
        <v>1189428.1819139598</v>
      </c>
      <c r="I211" s="635">
        <v>0.2</v>
      </c>
      <c r="J211" s="38" t="s">
        <v>228</v>
      </c>
      <c r="K211" s="606">
        <v>9.6000000000000014</v>
      </c>
      <c r="L211" s="606">
        <v>11.100000000000001</v>
      </c>
      <c r="M211" s="613">
        <v>0.21</v>
      </c>
      <c r="N211" s="578">
        <f t="shared" si="57"/>
        <v>108129.8347194509</v>
      </c>
      <c r="O211" s="578">
        <f t="shared" si="58"/>
        <v>195.45454545454547</v>
      </c>
      <c r="P211" s="578">
        <f t="shared" si="59"/>
        <v>2150</v>
      </c>
      <c r="Q211" s="578">
        <f t="shared" si="76"/>
        <v>44.791666666666664</v>
      </c>
      <c r="R211" s="658">
        <f t="shared" si="61"/>
        <v>9.40625</v>
      </c>
      <c r="S211" s="578">
        <f t="shared" si="62"/>
        <v>2169.545454545455</v>
      </c>
      <c r="T211" s="578">
        <f t="shared" si="63"/>
        <v>4622500</v>
      </c>
      <c r="U211" s="578">
        <f t="shared" si="64"/>
        <v>11.197916666666666</v>
      </c>
      <c r="V211" s="578">
        <f t="shared" si="65"/>
        <v>2.3515625</v>
      </c>
      <c r="W211" s="578">
        <f t="shared" si="66"/>
        <v>124.29687500000001</v>
      </c>
    </row>
    <row r="212" spans="1:23" x14ac:dyDescent="0.25">
      <c r="A212" s="129">
        <f t="shared" si="67"/>
        <v>100047</v>
      </c>
      <c r="B212" s="97" t="s">
        <v>119</v>
      </c>
      <c r="C212" s="247">
        <v>4080</v>
      </c>
      <c r="D212" s="577">
        <v>5.4631034090536846E-3</v>
      </c>
      <c r="E212" s="578">
        <f t="shared" si="53"/>
        <v>78182.625566281684</v>
      </c>
      <c r="F212" s="578">
        <f t="shared" si="54"/>
        <v>19.162408227029825</v>
      </c>
      <c r="G212" s="578">
        <f t="shared" si="56"/>
        <v>210.78649049732809</v>
      </c>
      <c r="H212" s="578">
        <f t="shared" si="55"/>
        <v>860008.88122909865</v>
      </c>
      <c r="I212" s="635">
        <v>0.32500000000000001</v>
      </c>
      <c r="J212" s="40" t="s">
        <v>214</v>
      </c>
      <c r="K212" s="606">
        <v>3.9000000000000004</v>
      </c>
      <c r="L212" s="606">
        <v>5.4</v>
      </c>
      <c r="M212" s="613">
        <v>0.21</v>
      </c>
      <c r="N212" s="578">
        <f t="shared" si="57"/>
        <v>78182.625566281684</v>
      </c>
      <c r="O212" s="578">
        <f t="shared" si="58"/>
        <v>370.90909090909088</v>
      </c>
      <c r="P212" s="578">
        <f t="shared" si="59"/>
        <v>4079.9999999999995</v>
      </c>
      <c r="Q212" s="578">
        <f>+P212/12</f>
        <v>339.99999999999994</v>
      </c>
      <c r="R212" s="658">
        <f t="shared" si="61"/>
        <v>71.399999999999991</v>
      </c>
      <c r="S212" s="578">
        <f t="shared" si="62"/>
        <v>2002.9090909090908</v>
      </c>
      <c r="T212" s="578">
        <f t="shared" si="63"/>
        <v>16646399.999999998</v>
      </c>
      <c r="U212" s="578">
        <f t="shared" si="64"/>
        <v>84.999999999999986</v>
      </c>
      <c r="V212" s="578">
        <f t="shared" si="65"/>
        <v>17.849999999999998</v>
      </c>
      <c r="W212" s="578">
        <f t="shared" si="66"/>
        <v>458.99999999999994</v>
      </c>
    </row>
    <row r="213" spans="1:23" ht="15.75" thickBot="1" x14ac:dyDescent="0.3">
      <c r="A213" s="130">
        <f t="shared" si="67"/>
        <v>100048</v>
      </c>
      <c r="B213" s="98" t="s">
        <v>122</v>
      </c>
      <c r="C213" s="249">
        <v>5560</v>
      </c>
      <c r="D213" s="577">
        <v>5.9928601495696839E-3</v>
      </c>
      <c r="E213" s="578">
        <f t="shared" si="53"/>
        <v>85763.989085108173</v>
      </c>
      <c r="F213" s="578">
        <f t="shared" si="54"/>
        <v>15.425177893005067</v>
      </c>
      <c r="G213" s="578">
        <f t="shared" si="56"/>
        <v>169.67695682305575</v>
      </c>
      <c r="H213" s="578">
        <f t="shared" si="55"/>
        <v>943403.87993618997</v>
      </c>
      <c r="I213" s="635">
        <v>0.45</v>
      </c>
      <c r="J213" s="40" t="s">
        <v>214</v>
      </c>
      <c r="K213" s="606">
        <v>5.4</v>
      </c>
      <c r="L213" s="606">
        <v>6.9</v>
      </c>
      <c r="M213" s="613">
        <v>0.21</v>
      </c>
      <c r="N213" s="578">
        <f t="shared" si="57"/>
        <v>85763.989085108173</v>
      </c>
      <c r="O213" s="578">
        <f t="shared" si="58"/>
        <v>505.45454545454544</v>
      </c>
      <c r="P213" s="578">
        <f t="shared" si="59"/>
        <v>5560</v>
      </c>
      <c r="Q213" s="578">
        <f>+P213/12</f>
        <v>463.33333333333331</v>
      </c>
      <c r="R213" s="658">
        <f t="shared" si="61"/>
        <v>97.3</v>
      </c>
      <c r="S213" s="578">
        <f t="shared" si="62"/>
        <v>3487.6363636363635</v>
      </c>
      <c r="T213" s="578">
        <f t="shared" si="63"/>
        <v>30913600</v>
      </c>
      <c r="U213" s="578">
        <f t="shared" si="64"/>
        <v>115.83333333333333</v>
      </c>
      <c r="V213" s="578">
        <f t="shared" si="65"/>
        <v>24.324999999999999</v>
      </c>
      <c r="W213" s="578">
        <f t="shared" si="66"/>
        <v>799.25</v>
      </c>
    </row>
    <row r="214" spans="1:23" x14ac:dyDescent="0.25">
      <c r="A214" s="572"/>
      <c r="B214" s="2"/>
      <c r="C214" s="2"/>
      <c r="D214" s="2"/>
      <c r="E214" s="2"/>
      <c r="F214" s="2"/>
      <c r="G214" s="2"/>
      <c r="H214" s="573"/>
      <c r="O214" s="364"/>
      <c r="V214" s="270">
        <f>SUM(V166:V213)</f>
        <v>812.98256628787897</v>
      </c>
    </row>
    <row r="215" spans="1:23" ht="15.75" thickBot="1" x14ac:dyDescent="0.3">
      <c r="A215" s="574"/>
      <c r="B215" s="575"/>
      <c r="C215" s="575"/>
      <c r="D215" s="575"/>
      <c r="E215" s="575"/>
      <c r="F215" s="575"/>
      <c r="G215" s="575"/>
      <c r="H215" s="576">
        <f>SUM(H166:H213)</f>
        <v>157421307.42095339</v>
      </c>
      <c r="O215" s="364"/>
      <c r="T215" s="270">
        <f>SUM(T166:T214)</f>
        <v>1029235900</v>
      </c>
      <c r="V215" s="657">
        <f>+V214/11</f>
        <v>73.907506026170822</v>
      </c>
    </row>
    <row r="216" spans="1:23" x14ac:dyDescent="0.25">
      <c r="O216" s="364"/>
    </row>
    <row r="217" spans="1:23" ht="19.5" thickBot="1" x14ac:dyDescent="0.35">
      <c r="A217" s="842" t="s">
        <v>189</v>
      </c>
      <c r="B217" s="842"/>
      <c r="C217" s="842"/>
      <c r="D217" s="842"/>
      <c r="E217" s="842"/>
      <c r="F217" s="842"/>
      <c r="G217" s="842"/>
      <c r="H217" s="842"/>
      <c r="O217" s="364"/>
    </row>
    <row r="218" spans="1:23" ht="19.5" thickBot="1" x14ac:dyDescent="0.35">
      <c r="A218" s="566"/>
      <c r="B218" s="844" t="s">
        <v>204</v>
      </c>
      <c r="C218" s="844"/>
      <c r="D218" s="844"/>
      <c r="E218" s="567">
        <f>+'1-CLIENTE-RED-ENDEUDAMIEN'!H160</f>
        <v>9260076.9071149062</v>
      </c>
      <c r="F218" s="568"/>
      <c r="G218" s="568"/>
      <c r="H218" s="569"/>
      <c r="O218" s="364"/>
    </row>
    <row r="219" spans="1:23" ht="60" x14ac:dyDescent="0.25">
      <c r="A219" s="570" t="s">
        <v>31</v>
      </c>
      <c r="B219" s="3" t="s">
        <v>2</v>
      </c>
      <c r="C219" s="3" t="s">
        <v>191</v>
      </c>
      <c r="D219" s="3" t="s">
        <v>192</v>
      </c>
      <c r="E219" s="3" t="s">
        <v>193</v>
      </c>
      <c r="F219" s="3" t="s">
        <v>195</v>
      </c>
      <c r="G219" s="3" t="s">
        <v>196</v>
      </c>
      <c r="H219" s="571" t="s">
        <v>197</v>
      </c>
      <c r="I219" s="5" t="s">
        <v>235</v>
      </c>
      <c r="J219" s="5" t="s">
        <v>209</v>
      </c>
      <c r="K219" s="5" t="s">
        <v>237</v>
      </c>
      <c r="L219" s="5" t="s">
        <v>239</v>
      </c>
      <c r="M219" s="5" t="s">
        <v>238</v>
      </c>
      <c r="N219" s="650" t="s">
        <v>193</v>
      </c>
      <c r="O219" s="650" t="s">
        <v>288</v>
      </c>
      <c r="P219" s="650" t="s">
        <v>289</v>
      </c>
      <c r="Q219" s="650" t="s">
        <v>277</v>
      </c>
      <c r="R219" s="663" t="s">
        <v>240</v>
      </c>
      <c r="S219" s="652" t="s">
        <v>290</v>
      </c>
      <c r="T219" s="650" t="s">
        <v>278</v>
      </c>
      <c r="U219" s="650" t="s">
        <v>279</v>
      </c>
      <c r="V219" s="650" t="s">
        <v>280</v>
      </c>
    </row>
    <row r="220" spans="1:23" ht="15.75" x14ac:dyDescent="0.25">
      <c r="A220" s="128">
        <v>100001</v>
      </c>
      <c r="B220" s="91" t="s">
        <v>15</v>
      </c>
      <c r="C220" s="103">
        <v>4910</v>
      </c>
      <c r="D220" s="577">
        <v>5.3518119941107528E-2</v>
      </c>
      <c r="E220" s="578">
        <f t="shared" ref="E220:E267" si="77">$E$218*D220</f>
        <v>495581.90657885559</v>
      </c>
      <c r="F220" s="578">
        <f t="shared" ref="F220:F267" si="78">E220/C220</f>
        <v>100.93317852929849</v>
      </c>
      <c r="G220" s="578">
        <f>F220*3</f>
        <v>302.79953558789543</v>
      </c>
      <c r="H220" s="578">
        <f t="shared" ref="H220:H267" si="79">G220*C220</f>
        <v>1486745.7197365665</v>
      </c>
      <c r="I220" s="623">
        <v>0.48</v>
      </c>
      <c r="J220" s="24" t="s">
        <v>216</v>
      </c>
      <c r="K220" s="600">
        <v>9.6</v>
      </c>
      <c r="L220" s="600">
        <v>11.1</v>
      </c>
      <c r="M220" s="607">
        <v>0.21</v>
      </c>
      <c r="N220" s="578">
        <f>$E$218*D220</f>
        <v>495581.90657885559</v>
      </c>
      <c r="O220" s="578">
        <f>N220/C220</f>
        <v>100.93317852929849</v>
      </c>
      <c r="P220" s="578">
        <f>O220*3</f>
        <v>302.79953558789543</v>
      </c>
      <c r="Q220" s="578">
        <f>+P220/20</f>
        <v>15.139976779394772</v>
      </c>
      <c r="R220" s="658">
        <f t="shared" ref="R220:R267" si="80">+O220*L220</f>
        <v>1120.3582816752132</v>
      </c>
      <c r="S220" s="578">
        <f>P220*C220</f>
        <v>1486745.7197365665</v>
      </c>
      <c r="T220" s="578">
        <f>+Q220/1</f>
        <v>15.139976779394772</v>
      </c>
      <c r="U220" s="578">
        <f>+T220*L220</f>
        <v>168.05374225128196</v>
      </c>
      <c r="V220" s="578">
        <f>+T220*L220</f>
        <v>168.05374225128196</v>
      </c>
    </row>
    <row r="221" spans="1:23" ht="15.75" x14ac:dyDescent="0.25">
      <c r="A221" s="129">
        <f>+A220+1</f>
        <v>100002</v>
      </c>
      <c r="B221" s="92" t="s">
        <v>16</v>
      </c>
      <c r="C221" s="112">
        <v>4910</v>
      </c>
      <c r="D221" s="577">
        <v>3.7601368833857216E-2</v>
      </c>
      <c r="E221" s="578">
        <f t="shared" si="77"/>
        <v>348191.56721431133</v>
      </c>
      <c r="F221" s="578">
        <f t="shared" si="78"/>
        <v>70.914779473383163</v>
      </c>
      <c r="G221" s="578">
        <f t="shared" ref="G221:G267" si="81">F221*3</f>
        <v>212.74433842014949</v>
      </c>
      <c r="H221" s="578">
        <f t="shared" si="79"/>
        <v>1044574.701642934</v>
      </c>
      <c r="I221" s="623">
        <v>0.48</v>
      </c>
      <c r="J221" s="24" t="s">
        <v>216</v>
      </c>
      <c r="K221" s="600">
        <v>9.6</v>
      </c>
      <c r="L221" s="600">
        <v>11.1</v>
      </c>
      <c r="M221" s="607">
        <v>0.21</v>
      </c>
      <c r="N221" s="578">
        <f t="shared" ref="N221:N267" si="82">$E$218*D221</f>
        <v>348191.56721431133</v>
      </c>
      <c r="O221" s="578">
        <f t="shared" ref="O221:O267" si="83">N221/C221</f>
        <v>70.914779473383163</v>
      </c>
      <c r="P221" s="578">
        <f t="shared" ref="P221:P267" si="84">O221*3</f>
        <v>212.74433842014949</v>
      </c>
      <c r="Q221" s="578">
        <f t="shared" ref="Q221:Q225" si="85">+P221/20</f>
        <v>10.637216921007475</v>
      </c>
      <c r="R221" s="658">
        <f t="shared" si="80"/>
        <v>787.15405215455314</v>
      </c>
      <c r="S221" s="578">
        <f t="shared" ref="S221:S267" si="86">P221*C221</f>
        <v>1044574.701642934</v>
      </c>
      <c r="T221" s="578">
        <f t="shared" ref="T221:T267" si="87">+Q221/1</f>
        <v>10.637216921007475</v>
      </c>
      <c r="U221" s="578">
        <f t="shared" ref="U221:U267" si="88">+T221*L221</f>
        <v>118.07310782318297</v>
      </c>
      <c r="V221" s="578">
        <f t="shared" ref="V221:V267" si="89">+T221*L221</f>
        <v>118.07310782318297</v>
      </c>
    </row>
    <row r="222" spans="1:23" ht="15.75" x14ac:dyDescent="0.25">
      <c r="A222" s="129">
        <f t="shared" ref="A222:A267" si="90">+A221+1</f>
        <v>100003</v>
      </c>
      <c r="B222" s="92" t="s">
        <v>17</v>
      </c>
      <c r="C222" s="112">
        <v>6000</v>
      </c>
      <c r="D222" s="577">
        <v>1.0959822872810982E-2</v>
      </c>
      <c r="E222" s="578">
        <f t="shared" si="77"/>
        <v>101488.80269058673</v>
      </c>
      <c r="F222" s="578">
        <f t="shared" si="78"/>
        <v>16.914800448431123</v>
      </c>
      <c r="G222" s="578">
        <f t="shared" si="81"/>
        <v>50.744401345293369</v>
      </c>
      <c r="H222" s="578">
        <f t="shared" si="79"/>
        <v>304466.4080717602</v>
      </c>
      <c r="I222" s="623">
        <v>0.36</v>
      </c>
      <c r="J222" s="24" t="s">
        <v>216</v>
      </c>
      <c r="K222" s="600">
        <v>7.1999999999999993</v>
      </c>
      <c r="L222" s="600">
        <v>8.6999999999999993</v>
      </c>
      <c r="M222" s="607">
        <v>0.21</v>
      </c>
      <c r="N222" s="578">
        <f t="shared" si="82"/>
        <v>101488.80269058673</v>
      </c>
      <c r="O222" s="578">
        <f t="shared" si="83"/>
        <v>16.914800448431123</v>
      </c>
      <c r="P222" s="578">
        <f t="shared" si="84"/>
        <v>50.744401345293369</v>
      </c>
      <c r="Q222" s="578">
        <f t="shared" si="85"/>
        <v>2.5372200672646685</v>
      </c>
      <c r="R222" s="658">
        <f t="shared" si="80"/>
        <v>147.15876390135077</v>
      </c>
      <c r="S222" s="578">
        <f t="shared" si="86"/>
        <v>304466.4080717602</v>
      </c>
      <c r="T222" s="578">
        <f t="shared" si="87"/>
        <v>2.5372200672646685</v>
      </c>
      <c r="U222" s="578">
        <f t="shared" si="88"/>
        <v>22.073814585202616</v>
      </c>
      <c r="V222" s="578">
        <f t="shared" si="89"/>
        <v>22.073814585202616</v>
      </c>
    </row>
    <row r="223" spans="1:23" ht="15.75" x14ac:dyDescent="0.25">
      <c r="A223" s="129">
        <f t="shared" si="90"/>
        <v>100004</v>
      </c>
      <c r="B223" s="92" t="s">
        <v>18</v>
      </c>
      <c r="C223" s="112">
        <v>5130</v>
      </c>
      <c r="D223" s="577">
        <v>2.0869862636506389E-2</v>
      </c>
      <c r="E223" s="578">
        <f t="shared" si="77"/>
        <v>193256.53305497303</v>
      </c>
      <c r="F223" s="578">
        <f t="shared" si="78"/>
        <v>37.671838802138993</v>
      </c>
      <c r="G223" s="578">
        <f t="shared" si="81"/>
        <v>113.01551640641698</v>
      </c>
      <c r="H223" s="578">
        <f t="shared" si="79"/>
        <v>579769.59916491911</v>
      </c>
      <c r="I223" s="623">
        <v>0.4</v>
      </c>
      <c r="J223" s="24" t="s">
        <v>216</v>
      </c>
      <c r="K223" s="600">
        <v>8</v>
      </c>
      <c r="L223" s="600">
        <v>9.5</v>
      </c>
      <c r="M223" s="607">
        <v>0.21</v>
      </c>
      <c r="N223" s="578">
        <f t="shared" si="82"/>
        <v>193256.53305497303</v>
      </c>
      <c r="O223" s="578">
        <f t="shared" si="83"/>
        <v>37.671838802138993</v>
      </c>
      <c r="P223" s="578">
        <f t="shared" si="84"/>
        <v>113.01551640641698</v>
      </c>
      <c r="Q223" s="578">
        <f t="shared" si="85"/>
        <v>5.6507758203208489</v>
      </c>
      <c r="R223" s="658">
        <f t="shared" si="80"/>
        <v>357.88246862032042</v>
      </c>
      <c r="S223" s="578">
        <f t="shared" si="86"/>
        <v>579769.59916491911</v>
      </c>
      <c r="T223" s="578">
        <f t="shared" si="87"/>
        <v>5.6507758203208489</v>
      </c>
      <c r="U223" s="578">
        <f t="shared" si="88"/>
        <v>53.682370293048066</v>
      </c>
      <c r="V223" s="578">
        <f t="shared" si="89"/>
        <v>53.682370293048066</v>
      </c>
    </row>
    <row r="224" spans="1:23" ht="15.75" x14ac:dyDescent="0.25">
      <c r="A224" s="129">
        <f t="shared" si="90"/>
        <v>100005</v>
      </c>
      <c r="B224" s="92" t="s">
        <v>19</v>
      </c>
      <c r="C224" s="112">
        <v>8550</v>
      </c>
      <c r="D224" s="577">
        <v>1.578835457061134E-2</v>
      </c>
      <c r="E224" s="578">
        <f t="shared" si="77"/>
        <v>146201.37756066016</v>
      </c>
      <c r="F224" s="578">
        <f t="shared" si="78"/>
        <v>17.099576322884229</v>
      </c>
      <c r="G224" s="578">
        <f t="shared" si="81"/>
        <v>51.298728968652682</v>
      </c>
      <c r="H224" s="578">
        <f t="shared" si="79"/>
        <v>438604.13268198044</v>
      </c>
      <c r="I224" s="623">
        <v>0.4</v>
      </c>
      <c r="J224" s="24" t="s">
        <v>216</v>
      </c>
      <c r="K224" s="600">
        <v>8</v>
      </c>
      <c r="L224" s="600">
        <v>9.5</v>
      </c>
      <c r="M224" s="607">
        <v>0.21</v>
      </c>
      <c r="N224" s="578">
        <f t="shared" si="82"/>
        <v>146201.37756066016</v>
      </c>
      <c r="O224" s="578">
        <f t="shared" si="83"/>
        <v>17.099576322884229</v>
      </c>
      <c r="P224" s="578">
        <f t="shared" si="84"/>
        <v>51.298728968652682</v>
      </c>
      <c r="Q224" s="578">
        <f t="shared" si="85"/>
        <v>2.564936448432634</v>
      </c>
      <c r="R224" s="658">
        <f t="shared" si="80"/>
        <v>162.44597506740018</v>
      </c>
      <c r="S224" s="578">
        <f t="shared" si="86"/>
        <v>438604.13268198044</v>
      </c>
      <c r="T224" s="578">
        <f t="shared" si="87"/>
        <v>2.564936448432634</v>
      </c>
      <c r="U224" s="578">
        <f t="shared" si="88"/>
        <v>24.366896260110025</v>
      </c>
      <c r="V224" s="578">
        <f t="shared" si="89"/>
        <v>24.366896260110025</v>
      </c>
    </row>
    <row r="225" spans="1:22" ht="15.75" x14ac:dyDescent="0.25">
      <c r="A225" s="129">
        <f t="shared" si="90"/>
        <v>100006</v>
      </c>
      <c r="B225" s="92" t="s">
        <v>42</v>
      </c>
      <c r="C225" s="112">
        <v>10100</v>
      </c>
      <c r="D225" s="577">
        <v>1.7467299349658533E-2</v>
      </c>
      <c r="E225" s="578">
        <f t="shared" si="77"/>
        <v>161748.53533743622</v>
      </c>
      <c r="F225" s="578">
        <f t="shared" si="78"/>
        <v>16.014706469053092</v>
      </c>
      <c r="G225" s="578">
        <f t="shared" si="81"/>
        <v>48.044119407159272</v>
      </c>
      <c r="H225" s="578">
        <f t="shared" si="79"/>
        <v>485245.60601230862</v>
      </c>
      <c r="I225" s="623">
        <v>0.4</v>
      </c>
      <c r="J225" s="24" t="s">
        <v>216</v>
      </c>
      <c r="K225" s="600">
        <v>8</v>
      </c>
      <c r="L225" s="600">
        <v>9.5</v>
      </c>
      <c r="M225" s="607">
        <v>0.21</v>
      </c>
      <c r="N225" s="578">
        <f t="shared" si="82"/>
        <v>161748.53533743622</v>
      </c>
      <c r="O225" s="578">
        <f t="shared" si="83"/>
        <v>16.014706469053092</v>
      </c>
      <c r="P225" s="578">
        <f t="shared" si="84"/>
        <v>48.044119407159272</v>
      </c>
      <c r="Q225" s="578">
        <f t="shared" si="85"/>
        <v>2.4022059703579637</v>
      </c>
      <c r="R225" s="658">
        <f t="shared" si="80"/>
        <v>152.13971145600436</v>
      </c>
      <c r="S225" s="578">
        <f t="shared" si="86"/>
        <v>485245.60601230862</v>
      </c>
      <c r="T225" s="578">
        <f t="shared" si="87"/>
        <v>2.4022059703579637</v>
      </c>
      <c r="U225" s="578">
        <f t="shared" si="88"/>
        <v>22.820956718400655</v>
      </c>
      <c r="V225" s="578">
        <f t="shared" si="89"/>
        <v>22.820956718400655</v>
      </c>
    </row>
    <row r="226" spans="1:22" ht="15.75" x14ac:dyDescent="0.25">
      <c r="A226" s="129">
        <f>+A225+1</f>
        <v>100007</v>
      </c>
      <c r="B226" s="93" t="s">
        <v>43</v>
      </c>
      <c r="C226" s="115">
        <v>2340</v>
      </c>
      <c r="D226" s="577">
        <v>2.0689609453558255E-2</v>
      </c>
      <c r="E226" s="578">
        <f t="shared" si="77"/>
        <v>191587.37471812105</v>
      </c>
      <c r="F226" s="578">
        <f t="shared" si="78"/>
        <v>81.874946460735487</v>
      </c>
      <c r="G226" s="578">
        <f t="shared" si="81"/>
        <v>245.62483938220646</v>
      </c>
      <c r="H226" s="578">
        <f t="shared" si="79"/>
        <v>574762.12415436306</v>
      </c>
      <c r="I226" s="625">
        <v>0.08</v>
      </c>
      <c r="J226" s="24" t="s">
        <v>215</v>
      </c>
      <c r="K226" s="601">
        <v>2</v>
      </c>
      <c r="L226" s="601">
        <v>3.5</v>
      </c>
      <c r="M226" s="608">
        <v>0.21</v>
      </c>
      <c r="N226" s="578">
        <f t="shared" si="82"/>
        <v>191587.37471812105</v>
      </c>
      <c r="O226" s="578">
        <f t="shared" si="83"/>
        <v>81.874946460735487</v>
      </c>
      <c r="P226" s="578">
        <f t="shared" si="84"/>
        <v>245.62483938220646</v>
      </c>
      <c r="Q226" s="578">
        <f>+P226/25</f>
        <v>9.8249935752882589</v>
      </c>
      <c r="R226" s="658">
        <f t="shared" si="80"/>
        <v>286.5623126125742</v>
      </c>
      <c r="S226" s="578">
        <f t="shared" si="86"/>
        <v>574762.12415436306</v>
      </c>
      <c r="T226" s="578">
        <f t="shared" si="87"/>
        <v>9.8249935752882589</v>
      </c>
      <c r="U226" s="578">
        <f t="shared" si="88"/>
        <v>34.387477513508905</v>
      </c>
      <c r="V226" s="578">
        <f t="shared" si="89"/>
        <v>34.387477513508905</v>
      </c>
    </row>
    <row r="227" spans="1:22" ht="15.75" x14ac:dyDescent="0.25">
      <c r="A227" s="129">
        <f t="shared" si="90"/>
        <v>100008</v>
      </c>
      <c r="B227" s="93" t="s">
        <v>47</v>
      </c>
      <c r="C227" s="115">
        <v>2340</v>
      </c>
      <c r="D227" s="577">
        <v>8.7435789522680076E-3</v>
      </c>
      <c r="E227" s="578">
        <f t="shared" si="77"/>
        <v>80966.213541432924</v>
      </c>
      <c r="F227" s="578">
        <f t="shared" si="78"/>
        <v>34.600945957877315</v>
      </c>
      <c r="G227" s="578">
        <f t="shared" si="81"/>
        <v>103.80283787363194</v>
      </c>
      <c r="H227" s="578">
        <f t="shared" si="79"/>
        <v>242898.64062429874</v>
      </c>
      <c r="I227" s="625">
        <v>0.09</v>
      </c>
      <c r="J227" s="24" t="s">
        <v>215</v>
      </c>
      <c r="K227" s="601">
        <v>2.25</v>
      </c>
      <c r="L227" s="601">
        <v>3.75</v>
      </c>
      <c r="M227" s="608">
        <v>0.21</v>
      </c>
      <c r="N227" s="578">
        <f t="shared" si="82"/>
        <v>80966.213541432924</v>
      </c>
      <c r="O227" s="578">
        <f t="shared" si="83"/>
        <v>34.600945957877315</v>
      </c>
      <c r="P227" s="578">
        <f t="shared" si="84"/>
        <v>103.80283787363194</v>
      </c>
      <c r="Q227" s="578">
        <f t="shared" ref="Q227:Q229" si="91">+P227/25</f>
        <v>4.1521135149452775</v>
      </c>
      <c r="R227" s="658">
        <f t="shared" si="80"/>
        <v>129.75354734203992</v>
      </c>
      <c r="S227" s="578">
        <f t="shared" si="86"/>
        <v>242898.64062429874</v>
      </c>
      <c r="T227" s="578">
        <f t="shared" si="87"/>
        <v>4.1521135149452775</v>
      </c>
      <c r="U227" s="578">
        <f t="shared" si="88"/>
        <v>15.570425681044791</v>
      </c>
      <c r="V227" s="578">
        <f t="shared" si="89"/>
        <v>15.570425681044791</v>
      </c>
    </row>
    <row r="228" spans="1:22" ht="15.75" x14ac:dyDescent="0.25">
      <c r="A228" s="129">
        <f t="shared" si="90"/>
        <v>100009</v>
      </c>
      <c r="B228" s="93" t="s">
        <v>50</v>
      </c>
      <c r="C228" s="115">
        <v>2240</v>
      </c>
      <c r="D228" s="577">
        <v>3.4666989811607013E-2</v>
      </c>
      <c r="E228" s="578">
        <f t="shared" si="77"/>
        <v>321018.99179364985</v>
      </c>
      <c r="F228" s="578">
        <f t="shared" si="78"/>
        <v>143.31204990787941</v>
      </c>
      <c r="G228" s="578">
        <f t="shared" si="81"/>
        <v>429.93614972363821</v>
      </c>
      <c r="H228" s="578">
        <f t="shared" si="79"/>
        <v>963056.97538094956</v>
      </c>
      <c r="I228" s="625">
        <v>0.1</v>
      </c>
      <c r="J228" s="24" t="s">
        <v>215</v>
      </c>
      <c r="K228" s="601">
        <v>2.5</v>
      </c>
      <c r="L228" s="601">
        <v>4</v>
      </c>
      <c r="M228" s="608">
        <v>0.21</v>
      </c>
      <c r="N228" s="578">
        <f t="shared" si="82"/>
        <v>321018.99179364985</v>
      </c>
      <c r="O228" s="578">
        <f t="shared" si="83"/>
        <v>143.31204990787941</v>
      </c>
      <c r="P228" s="578">
        <f t="shared" si="84"/>
        <v>429.93614972363821</v>
      </c>
      <c r="Q228" s="578">
        <f t="shared" si="91"/>
        <v>17.197445988945528</v>
      </c>
      <c r="R228" s="658">
        <f t="shared" si="80"/>
        <v>573.24819963151765</v>
      </c>
      <c r="S228" s="578">
        <f t="shared" si="86"/>
        <v>963056.97538094956</v>
      </c>
      <c r="T228" s="578">
        <f t="shared" si="87"/>
        <v>17.197445988945528</v>
      </c>
      <c r="U228" s="578">
        <f t="shared" si="88"/>
        <v>68.789783955782113</v>
      </c>
      <c r="V228" s="578">
        <f t="shared" si="89"/>
        <v>68.789783955782113</v>
      </c>
    </row>
    <row r="229" spans="1:22" ht="15.75" x14ac:dyDescent="0.25">
      <c r="A229" s="129">
        <f t="shared" si="90"/>
        <v>100010</v>
      </c>
      <c r="B229" s="93" t="s">
        <v>52</v>
      </c>
      <c r="C229" s="115">
        <v>2300</v>
      </c>
      <c r="D229" s="577">
        <v>2.8351594888090376E-2</v>
      </c>
      <c r="E229" s="578">
        <f t="shared" si="77"/>
        <v>262537.9491030827</v>
      </c>
      <c r="F229" s="578">
        <f t="shared" si="78"/>
        <v>114.14693439264465</v>
      </c>
      <c r="G229" s="578">
        <f t="shared" si="81"/>
        <v>342.44080317793396</v>
      </c>
      <c r="H229" s="578">
        <f t="shared" si="79"/>
        <v>787613.84730924806</v>
      </c>
      <c r="I229" s="625">
        <v>0.36</v>
      </c>
      <c r="J229" s="24" t="s">
        <v>215</v>
      </c>
      <c r="K229" s="601">
        <v>9</v>
      </c>
      <c r="L229" s="601">
        <v>10.5</v>
      </c>
      <c r="M229" s="608">
        <v>0.21</v>
      </c>
      <c r="N229" s="578">
        <f t="shared" si="82"/>
        <v>262537.9491030827</v>
      </c>
      <c r="O229" s="578">
        <f t="shared" si="83"/>
        <v>114.14693439264465</v>
      </c>
      <c r="P229" s="578">
        <f t="shared" si="84"/>
        <v>342.44080317793396</v>
      </c>
      <c r="Q229" s="578">
        <f t="shared" si="91"/>
        <v>13.697632127117359</v>
      </c>
      <c r="R229" s="658">
        <f t="shared" si="80"/>
        <v>1198.5428111227689</v>
      </c>
      <c r="S229" s="578">
        <f t="shared" si="86"/>
        <v>787613.84730924806</v>
      </c>
      <c r="T229" s="578">
        <f t="shared" si="87"/>
        <v>13.697632127117359</v>
      </c>
      <c r="U229" s="578">
        <f t="shared" si="88"/>
        <v>143.82513733473226</v>
      </c>
      <c r="V229" s="578">
        <f t="shared" si="89"/>
        <v>143.82513733473226</v>
      </c>
    </row>
    <row r="230" spans="1:22" ht="15.75" x14ac:dyDescent="0.25">
      <c r="A230" s="129">
        <f t="shared" si="90"/>
        <v>100011</v>
      </c>
      <c r="B230" s="93" t="s">
        <v>53</v>
      </c>
      <c r="C230" s="115">
        <v>1260</v>
      </c>
      <c r="D230" s="577">
        <v>1.8298463263697554E-2</v>
      </c>
      <c r="E230" s="578">
        <f t="shared" si="77"/>
        <v>169445.17710385617</v>
      </c>
      <c r="F230" s="578">
        <f t="shared" si="78"/>
        <v>134.48029928877475</v>
      </c>
      <c r="G230" s="578">
        <f t="shared" si="81"/>
        <v>403.44089786632424</v>
      </c>
      <c r="H230" s="578">
        <f t="shared" si="79"/>
        <v>508335.53131156851</v>
      </c>
      <c r="I230" s="625">
        <v>0.15</v>
      </c>
      <c r="J230" s="24" t="s">
        <v>216</v>
      </c>
      <c r="K230" s="601">
        <v>3</v>
      </c>
      <c r="L230" s="601">
        <v>4.5</v>
      </c>
      <c r="M230" s="608">
        <v>0.21</v>
      </c>
      <c r="N230" s="578">
        <f t="shared" si="82"/>
        <v>169445.17710385617</v>
      </c>
      <c r="O230" s="578">
        <f t="shared" si="83"/>
        <v>134.48029928877475</v>
      </c>
      <c r="P230" s="578">
        <f t="shared" si="84"/>
        <v>403.44089786632424</v>
      </c>
      <c r="Q230" s="578">
        <f t="shared" ref="Q230:Q236" si="92">+P230/20</f>
        <v>20.172044893316212</v>
      </c>
      <c r="R230" s="658">
        <f t="shared" si="80"/>
        <v>605.16134679948641</v>
      </c>
      <c r="S230" s="578">
        <f t="shared" si="86"/>
        <v>508335.53131156851</v>
      </c>
      <c r="T230" s="578">
        <f t="shared" si="87"/>
        <v>20.172044893316212</v>
      </c>
      <c r="U230" s="578">
        <f t="shared" si="88"/>
        <v>90.774202019922953</v>
      </c>
      <c r="V230" s="578">
        <f t="shared" si="89"/>
        <v>90.774202019922953</v>
      </c>
    </row>
    <row r="231" spans="1:22" ht="15.75" x14ac:dyDescent="0.25">
      <c r="A231" s="129">
        <f t="shared" si="90"/>
        <v>100012</v>
      </c>
      <c r="B231" s="93" t="s">
        <v>55</v>
      </c>
      <c r="C231" s="115">
        <v>1260</v>
      </c>
      <c r="D231" s="577">
        <v>1.4356577442554015E-2</v>
      </c>
      <c r="E231" s="578">
        <f t="shared" si="77"/>
        <v>132943.01124100122</v>
      </c>
      <c r="F231" s="578">
        <f t="shared" si="78"/>
        <v>105.51032638174701</v>
      </c>
      <c r="G231" s="578">
        <f t="shared" si="81"/>
        <v>316.53097914524102</v>
      </c>
      <c r="H231" s="578">
        <f t="shared" si="79"/>
        <v>398829.0337230037</v>
      </c>
      <c r="I231" s="625">
        <v>0.09</v>
      </c>
      <c r="J231" s="24" t="s">
        <v>216</v>
      </c>
      <c r="K231" s="601">
        <v>1.7999999999999998</v>
      </c>
      <c r="L231" s="601">
        <v>3.3</v>
      </c>
      <c r="M231" s="608">
        <v>0.21</v>
      </c>
      <c r="N231" s="578">
        <f t="shared" si="82"/>
        <v>132943.01124100122</v>
      </c>
      <c r="O231" s="578">
        <f t="shared" si="83"/>
        <v>105.51032638174701</v>
      </c>
      <c r="P231" s="578">
        <f t="shared" si="84"/>
        <v>316.53097914524102</v>
      </c>
      <c r="Q231" s="578">
        <f t="shared" si="92"/>
        <v>15.826548957262052</v>
      </c>
      <c r="R231" s="658">
        <f t="shared" si="80"/>
        <v>348.18407705976512</v>
      </c>
      <c r="S231" s="578">
        <f t="shared" si="86"/>
        <v>398829.0337230037</v>
      </c>
      <c r="T231" s="578">
        <f t="shared" si="87"/>
        <v>15.826548957262052</v>
      </c>
      <c r="U231" s="578">
        <f t="shared" si="88"/>
        <v>52.227611558964767</v>
      </c>
      <c r="V231" s="578">
        <f t="shared" si="89"/>
        <v>52.227611558964767</v>
      </c>
    </row>
    <row r="232" spans="1:22" ht="15.75" x14ac:dyDescent="0.25">
      <c r="A232" s="129">
        <f t="shared" si="90"/>
        <v>100013</v>
      </c>
      <c r="B232" s="93" t="s">
        <v>57</v>
      </c>
      <c r="C232" s="115">
        <v>2710</v>
      </c>
      <c r="D232" s="577">
        <v>2.098811690004827E-2</v>
      </c>
      <c r="E232" s="578">
        <f t="shared" si="77"/>
        <v>194351.57662996507</v>
      </c>
      <c r="F232" s="578">
        <f t="shared" si="78"/>
        <v>71.71644894094652</v>
      </c>
      <c r="G232" s="578">
        <f t="shared" si="81"/>
        <v>215.14934682283956</v>
      </c>
      <c r="H232" s="578">
        <f t="shared" si="79"/>
        <v>583054.72988989518</v>
      </c>
      <c r="I232" s="625">
        <v>0.18</v>
      </c>
      <c r="J232" s="24" t="s">
        <v>218</v>
      </c>
      <c r="K232" s="601">
        <v>3.5999999999999996</v>
      </c>
      <c r="L232" s="601">
        <v>5.0999999999999996</v>
      </c>
      <c r="M232" s="608">
        <v>0.21</v>
      </c>
      <c r="N232" s="578">
        <f t="shared" si="82"/>
        <v>194351.57662996507</v>
      </c>
      <c r="O232" s="578">
        <f t="shared" si="83"/>
        <v>71.71644894094652</v>
      </c>
      <c r="P232" s="578">
        <f t="shared" si="84"/>
        <v>215.14934682283956</v>
      </c>
      <c r="Q232" s="578">
        <f t="shared" si="92"/>
        <v>10.757467341141979</v>
      </c>
      <c r="R232" s="658">
        <f t="shared" si="80"/>
        <v>365.75388959882724</v>
      </c>
      <c r="S232" s="578">
        <f t="shared" si="86"/>
        <v>583054.72988989518</v>
      </c>
      <c r="T232" s="578">
        <f t="shared" si="87"/>
        <v>10.757467341141979</v>
      </c>
      <c r="U232" s="578">
        <f t="shared" si="88"/>
        <v>54.863083439824088</v>
      </c>
      <c r="V232" s="578">
        <f t="shared" si="89"/>
        <v>54.863083439824088</v>
      </c>
    </row>
    <row r="233" spans="1:22" ht="15.75" x14ac:dyDescent="0.25">
      <c r="A233" s="129">
        <f t="shared" si="90"/>
        <v>100014</v>
      </c>
      <c r="B233" s="93" t="s">
        <v>59</v>
      </c>
      <c r="C233" s="115">
        <v>1480</v>
      </c>
      <c r="D233" s="577">
        <v>2.0679468122106363E-2</v>
      </c>
      <c r="E233" s="578">
        <f t="shared" si="77"/>
        <v>191493.46520893599</v>
      </c>
      <c r="F233" s="578">
        <f t="shared" si="78"/>
        <v>129.38747649252431</v>
      </c>
      <c r="G233" s="578">
        <f t="shared" si="81"/>
        <v>388.16242947757291</v>
      </c>
      <c r="H233" s="578">
        <f t="shared" si="79"/>
        <v>574480.39562680793</v>
      </c>
      <c r="I233" s="625">
        <v>0.56000000000000005</v>
      </c>
      <c r="J233" s="24" t="s">
        <v>219</v>
      </c>
      <c r="K233" s="601">
        <v>11.200000000000001</v>
      </c>
      <c r="L233" s="601">
        <v>13.000000000000002</v>
      </c>
      <c r="M233" s="608">
        <v>0.35</v>
      </c>
      <c r="N233" s="578">
        <f t="shared" si="82"/>
        <v>191493.46520893599</v>
      </c>
      <c r="O233" s="578">
        <f t="shared" si="83"/>
        <v>129.38747649252431</v>
      </c>
      <c r="P233" s="578">
        <f t="shared" si="84"/>
        <v>388.16242947757291</v>
      </c>
      <c r="Q233" s="578">
        <f t="shared" si="92"/>
        <v>19.408121473878644</v>
      </c>
      <c r="R233" s="658">
        <f t="shared" si="80"/>
        <v>1682.0371944028163</v>
      </c>
      <c r="S233" s="578">
        <f t="shared" si="86"/>
        <v>574480.39562680793</v>
      </c>
      <c r="T233" s="578">
        <f t="shared" si="87"/>
        <v>19.408121473878644</v>
      </c>
      <c r="U233" s="578">
        <f t="shared" si="88"/>
        <v>252.30557916042241</v>
      </c>
      <c r="V233" s="578">
        <f t="shared" si="89"/>
        <v>252.30557916042241</v>
      </c>
    </row>
    <row r="234" spans="1:22" ht="15.75" x14ac:dyDescent="0.25">
      <c r="A234" s="129">
        <f>+A233+1</f>
        <v>100015</v>
      </c>
      <c r="B234" s="94" t="s">
        <v>62</v>
      </c>
      <c r="C234" s="241">
        <v>2360</v>
      </c>
      <c r="D234" s="577">
        <v>5.4548355917159799E-2</v>
      </c>
      <c r="E234" s="578">
        <f t="shared" si="77"/>
        <v>505121.97094957624</v>
      </c>
      <c r="F234" s="578">
        <f t="shared" si="78"/>
        <v>214.03473345321026</v>
      </c>
      <c r="G234" s="578">
        <f t="shared" si="81"/>
        <v>642.10420035963079</v>
      </c>
      <c r="H234" s="578">
        <f t="shared" si="79"/>
        <v>1515365.9128487287</v>
      </c>
      <c r="I234" s="627">
        <v>0.60000000000000009</v>
      </c>
      <c r="J234" s="24" t="s">
        <v>216</v>
      </c>
      <c r="K234" s="602">
        <v>12.000000000000002</v>
      </c>
      <c r="L234" s="602">
        <v>13.500000000000002</v>
      </c>
      <c r="M234" s="609">
        <v>0.21</v>
      </c>
      <c r="N234" s="578">
        <f t="shared" si="82"/>
        <v>505121.97094957624</v>
      </c>
      <c r="O234" s="578">
        <f t="shared" si="83"/>
        <v>214.03473345321026</v>
      </c>
      <c r="P234" s="578">
        <f t="shared" si="84"/>
        <v>642.10420035963079</v>
      </c>
      <c r="Q234" s="578">
        <f t="shared" si="92"/>
        <v>32.105210017981541</v>
      </c>
      <c r="R234" s="658">
        <f t="shared" si="80"/>
        <v>2889.4689016183388</v>
      </c>
      <c r="S234" s="578">
        <f t="shared" si="86"/>
        <v>1515365.9128487287</v>
      </c>
      <c r="T234" s="578">
        <f t="shared" si="87"/>
        <v>32.105210017981541</v>
      </c>
      <c r="U234" s="578">
        <f t="shared" si="88"/>
        <v>433.42033524275087</v>
      </c>
      <c r="V234" s="578">
        <f t="shared" si="89"/>
        <v>433.42033524275087</v>
      </c>
    </row>
    <row r="235" spans="1:22" ht="15.75" x14ac:dyDescent="0.25">
      <c r="A235" s="129">
        <f t="shared" si="90"/>
        <v>100016</v>
      </c>
      <c r="B235" s="94" t="s">
        <v>65</v>
      </c>
      <c r="C235" s="241">
        <v>5000</v>
      </c>
      <c r="D235" s="577">
        <v>1.2735897046611974E-2</v>
      </c>
      <c r="E235" s="578">
        <f t="shared" si="77"/>
        <v>117935.38613272448</v>
      </c>
      <c r="F235" s="578">
        <f t="shared" si="78"/>
        <v>23.587077226544896</v>
      </c>
      <c r="G235" s="578">
        <f t="shared" si="81"/>
        <v>70.76123167963469</v>
      </c>
      <c r="H235" s="578">
        <f t="shared" si="79"/>
        <v>353806.15839817346</v>
      </c>
      <c r="I235" s="627">
        <v>0.48</v>
      </c>
      <c r="J235" s="24" t="s">
        <v>218</v>
      </c>
      <c r="K235" s="602">
        <v>9.6</v>
      </c>
      <c r="L235" s="602">
        <v>11.1</v>
      </c>
      <c r="M235" s="609">
        <v>0.21</v>
      </c>
      <c r="N235" s="578">
        <f t="shared" si="82"/>
        <v>117935.38613272448</v>
      </c>
      <c r="O235" s="578">
        <f t="shared" si="83"/>
        <v>23.587077226544896</v>
      </c>
      <c r="P235" s="578">
        <f t="shared" si="84"/>
        <v>70.76123167963469</v>
      </c>
      <c r="Q235" s="578">
        <f t="shared" si="92"/>
        <v>3.5380615839817344</v>
      </c>
      <c r="R235" s="658">
        <f t="shared" si="80"/>
        <v>261.81655721464836</v>
      </c>
      <c r="S235" s="578">
        <f t="shared" si="86"/>
        <v>353806.15839817346</v>
      </c>
      <c r="T235" s="578">
        <f t="shared" si="87"/>
        <v>3.5380615839817344</v>
      </c>
      <c r="U235" s="578">
        <f t="shared" si="88"/>
        <v>39.272483582197253</v>
      </c>
      <c r="V235" s="578">
        <f t="shared" si="89"/>
        <v>39.272483582197253</v>
      </c>
    </row>
    <row r="236" spans="1:22" ht="15.75" x14ac:dyDescent="0.25">
      <c r="A236" s="129">
        <f t="shared" si="90"/>
        <v>100017</v>
      </c>
      <c r="B236" s="94" t="s">
        <v>66</v>
      </c>
      <c r="C236" s="241">
        <v>3590</v>
      </c>
      <c r="D236" s="577">
        <v>9.1809484158309283E-3</v>
      </c>
      <c r="E236" s="578">
        <f t="shared" si="77"/>
        <v>85016.288410849156</v>
      </c>
      <c r="F236" s="578">
        <f t="shared" si="78"/>
        <v>23.681417384637648</v>
      </c>
      <c r="G236" s="578">
        <f t="shared" si="81"/>
        <v>71.044252153912936</v>
      </c>
      <c r="H236" s="578">
        <f t="shared" si="79"/>
        <v>255048.86523254745</v>
      </c>
      <c r="I236" s="627">
        <v>0.2</v>
      </c>
      <c r="J236" s="24" t="s">
        <v>218</v>
      </c>
      <c r="K236" s="602">
        <v>4</v>
      </c>
      <c r="L236" s="602">
        <v>5.5</v>
      </c>
      <c r="M236" s="609">
        <v>0.21</v>
      </c>
      <c r="N236" s="578">
        <f t="shared" si="82"/>
        <v>85016.288410849156</v>
      </c>
      <c r="O236" s="578">
        <f t="shared" si="83"/>
        <v>23.681417384637648</v>
      </c>
      <c r="P236" s="578">
        <f t="shared" si="84"/>
        <v>71.044252153912936</v>
      </c>
      <c r="Q236" s="578">
        <f t="shared" si="92"/>
        <v>3.5522126076956466</v>
      </c>
      <c r="R236" s="658">
        <f t="shared" si="80"/>
        <v>130.24779561550707</v>
      </c>
      <c r="S236" s="578">
        <f t="shared" si="86"/>
        <v>255048.86523254745</v>
      </c>
      <c r="T236" s="578">
        <f t="shared" si="87"/>
        <v>3.5522126076956466</v>
      </c>
      <c r="U236" s="578">
        <f t="shared" si="88"/>
        <v>19.537169342326056</v>
      </c>
      <c r="V236" s="578">
        <f t="shared" si="89"/>
        <v>19.537169342326056</v>
      </c>
    </row>
    <row r="237" spans="1:22" ht="15.75" x14ac:dyDescent="0.25">
      <c r="A237" s="129">
        <f t="shared" si="90"/>
        <v>100018</v>
      </c>
      <c r="B237" s="94" t="s">
        <v>68</v>
      </c>
      <c r="C237" s="241">
        <v>12330</v>
      </c>
      <c r="D237" s="577">
        <v>8.7539275592806512E-3</v>
      </c>
      <c r="E237" s="578">
        <f t="shared" si="77"/>
        <v>81062.042438251519</v>
      </c>
      <c r="F237" s="578">
        <f t="shared" si="78"/>
        <v>6.5743748936132622</v>
      </c>
      <c r="G237" s="578">
        <f t="shared" si="81"/>
        <v>19.723124680839788</v>
      </c>
      <c r="H237" s="578">
        <f t="shared" si="79"/>
        <v>243186.12731475459</v>
      </c>
      <c r="I237" s="627">
        <v>0.12</v>
      </c>
      <c r="J237" s="24" t="s">
        <v>215</v>
      </c>
      <c r="K237" s="602">
        <v>3</v>
      </c>
      <c r="L237" s="602">
        <v>4.5</v>
      </c>
      <c r="M237" s="609">
        <v>0.21</v>
      </c>
      <c r="N237" s="578">
        <f t="shared" si="82"/>
        <v>81062.042438251519</v>
      </c>
      <c r="O237" s="578">
        <f t="shared" si="83"/>
        <v>6.5743748936132622</v>
      </c>
      <c r="P237" s="578">
        <f t="shared" si="84"/>
        <v>19.723124680839788</v>
      </c>
      <c r="Q237" s="578">
        <f t="shared" ref="Q237" si="93">+P237/25</f>
        <v>0.7889249872335915</v>
      </c>
      <c r="R237" s="658">
        <f t="shared" si="80"/>
        <v>29.584687021259679</v>
      </c>
      <c r="S237" s="578">
        <f t="shared" si="86"/>
        <v>243186.12731475459</v>
      </c>
      <c r="T237" s="578">
        <f t="shared" si="87"/>
        <v>0.7889249872335915</v>
      </c>
      <c r="U237" s="578">
        <f t="shared" si="88"/>
        <v>3.5501624425511618</v>
      </c>
      <c r="V237" s="578">
        <f t="shared" si="89"/>
        <v>3.5501624425511618</v>
      </c>
    </row>
    <row r="238" spans="1:22" ht="15.75" x14ac:dyDescent="0.25">
      <c r="A238" s="129">
        <f t="shared" si="90"/>
        <v>100019</v>
      </c>
      <c r="B238" s="94" t="s">
        <v>70</v>
      </c>
      <c r="C238" s="241">
        <v>7480</v>
      </c>
      <c r="D238" s="577">
        <v>7.6756998964912062E-3</v>
      </c>
      <c r="E238" s="578">
        <f t="shared" si="77"/>
        <v>71077.571357442488</v>
      </c>
      <c r="F238" s="578">
        <f t="shared" si="78"/>
        <v>9.5023491119575514</v>
      </c>
      <c r="G238" s="578">
        <f t="shared" si="81"/>
        <v>28.507047335872656</v>
      </c>
      <c r="H238" s="578">
        <f t="shared" si="79"/>
        <v>213232.71407232748</v>
      </c>
      <c r="I238" s="627">
        <v>8.5000000000000006E-2</v>
      </c>
      <c r="J238" s="24" t="s">
        <v>214</v>
      </c>
      <c r="K238" s="602">
        <v>1.02</v>
      </c>
      <c r="L238" s="602">
        <v>2.52</v>
      </c>
      <c r="M238" s="609">
        <v>1.2000000000000002E-2</v>
      </c>
      <c r="N238" s="578">
        <f t="shared" si="82"/>
        <v>71077.571357442488</v>
      </c>
      <c r="O238" s="578">
        <f t="shared" si="83"/>
        <v>9.5023491119575514</v>
      </c>
      <c r="P238" s="578">
        <f t="shared" si="84"/>
        <v>28.507047335872656</v>
      </c>
      <c r="Q238" s="578">
        <f>+P238/12</f>
        <v>2.3755872779893878</v>
      </c>
      <c r="R238" s="658">
        <f t="shared" si="80"/>
        <v>23.94591976213303</v>
      </c>
      <c r="S238" s="578">
        <f t="shared" si="86"/>
        <v>213232.71407232748</v>
      </c>
      <c r="T238" s="578">
        <f t="shared" si="87"/>
        <v>2.3755872779893878</v>
      </c>
      <c r="U238" s="578">
        <f t="shared" si="88"/>
        <v>5.9864799405332576</v>
      </c>
      <c r="V238" s="578">
        <f t="shared" si="89"/>
        <v>5.9864799405332576</v>
      </c>
    </row>
    <row r="239" spans="1:22" ht="15.75" x14ac:dyDescent="0.25">
      <c r="A239" s="129">
        <f t="shared" si="90"/>
        <v>100020</v>
      </c>
      <c r="B239" s="94" t="s">
        <v>72</v>
      </c>
      <c r="C239" s="241">
        <v>4100</v>
      </c>
      <c r="D239" s="577">
        <v>5.1954204213616869E-3</v>
      </c>
      <c r="E239" s="578">
        <f t="shared" si="77"/>
        <v>48109.99266660455</v>
      </c>
      <c r="F239" s="578">
        <f t="shared" si="78"/>
        <v>11.734144552830378</v>
      </c>
      <c r="G239" s="578">
        <f t="shared" si="81"/>
        <v>35.202433658491131</v>
      </c>
      <c r="H239" s="578">
        <f t="shared" si="79"/>
        <v>144329.97799981365</v>
      </c>
      <c r="I239" s="627">
        <v>0.84000000000000008</v>
      </c>
      <c r="J239" s="24" t="s">
        <v>224</v>
      </c>
      <c r="K239" s="602">
        <v>6.7200000000000006</v>
      </c>
      <c r="L239" s="602">
        <v>8.2200000000000006</v>
      </c>
      <c r="M239" s="609">
        <v>0.21</v>
      </c>
      <c r="N239" s="578">
        <f t="shared" si="82"/>
        <v>48109.99266660455</v>
      </c>
      <c r="O239" s="578">
        <f t="shared" si="83"/>
        <v>11.734144552830378</v>
      </c>
      <c r="P239" s="578">
        <f t="shared" si="84"/>
        <v>35.202433658491131</v>
      </c>
      <c r="Q239" s="578">
        <f>+P239/8</f>
        <v>4.4003042073113914</v>
      </c>
      <c r="R239" s="658">
        <f t="shared" si="80"/>
        <v>96.454668224265717</v>
      </c>
      <c r="S239" s="578">
        <f t="shared" si="86"/>
        <v>144329.97799981365</v>
      </c>
      <c r="T239" s="578">
        <f t="shared" si="87"/>
        <v>4.4003042073113914</v>
      </c>
      <c r="U239" s="578">
        <f t="shared" si="88"/>
        <v>36.170500584099642</v>
      </c>
      <c r="V239" s="578">
        <f t="shared" si="89"/>
        <v>36.170500584099642</v>
      </c>
    </row>
    <row r="240" spans="1:22" ht="15.75" x14ac:dyDescent="0.25">
      <c r="A240" s="129">
        <f>+A239+1</f>
        <v>100021</v>
      </c>
      <c r="B240" s="92" t="s">
        <v>73</v>
      </c>
      <c r="C240" s="243">
        <v>3300</v>
      </c>
      <c r="D240" s="577">
        <v>7.8910293316201436E-3</v>
      </c>
      <c r="E240" s="578">
        <f t="shared" si="77"/>
        <v>73071.538487102065</v>
      </c>
      <c r="F240" s="578">
        <f t="shared" si="78"/>
        <v>22.14289045063699</v>
      </c>
      <c r="G240" s="578">
        <f t="shared" si="81"/>
        <v>66.428671351910964</v>
      </c>
      <c r="H240" s="578">
        <f t="shared" si="79"/>
        <v>219214.61546130618</v>
      </c>
      <c r="I240" s="629">
        <v>2.5499999999999998</v>
      </c>
      <c r="J240" s="24" t="s">
        <v>223</v>
      </c>
      <c r="K240" s="603">
        <v>10.199999999999999</v>
      </c>
      <c r="L240" s="603">
        <v>11.7</v>
      </c>
      <c r="M240" s="610">
        <v>0.21</v>
      </c>
      <c r="N240" s="578">
        <f t="shared" si="82"/>
        <v>73071.538487102065</v>
      </c>
      <c r="O240" s="578">
        <f t="shared" si="83"/>
        <v>22.14289045063699</v>
      </c>
      <c r="P240" s="578">
        <f t="shared" si="84"/>
        <v>66.428671351910964</v>
      </c>
      <c r="Q240" s="578">
        <f>+P240/4</f>
        <v>16.607167837977741</v>
      </c>
      <c r="R240" s="658">
        <f t="shared" si="80"/>
        <v>259.07181827245279</v>
      </c>
      <c r="S240" s="578">
        <f t="shared" si="86"/>
        <v>219214.61546130618</v>
      </c>
      <c r="T240" s="578">
        <f t="shared" si="87"/>
        <v>16.607167837977741</v>
      </c>
      <c r="U240" s="578">
        <f t="shared" si="88"/>
        <v>194.30386370433956</v>
      </c>
      <c r="V240" s="578">
        <f t="shared" si="89"/>
        <v>194.30386370433956</v>
      </c>
    </row>
    <row r="241" spans="1:22" ht="15.75" x14ac:dyDescent="0.25">
      <c r="A241" s="129">
        <f t="shared" si="90"/>
        <v>100022</v>
      </c>
      <c r="B241" s="92" t="s">
        <v>76</v>
      </c>
      <c r="C241" s="243">
        <v>3000</v>
      </c>
      <c r="D241" s="577">
        <v>9.4692351979441727E-3</v>
      </c>
      <c r="E241" s="578">
        <f t="shared" si="77"/>
        <v>87685.846184522481</v>
      </c>
      <c r="F241" s="578">
        <f t="shared" si="78"/>
        <v>29.228615394840826</v>
      </c>
      <c r="G241" s="578">
        <f t="shared" si="81"/>
        <v>87.685846184522475</v>
      </c>
      <c r="H241" s="578">
        <f t="shared" si="79"/>
        <v>263057.53855356743</v>
      </c>
      <c r="I241" s="629">
        <v>1.7879999999999998</v>
      </c>
      <c r="J241" s="24" t="s">
        <v>223</v>
      </c>
      <c r="K241" s="603">
        <v>7.1519999999999992</v>
      </c>
      <c r="L241" s="603">
        <v>8.6519999999999992</v>
      </c>
      <c r="M241" s="610">
        <v>0.21</v>
      </c>
      <c r="N241" s="578">
        <f t="shared" si="82"/>
        <v>87685.846184522481</v>
      </c>
      <c r="O241" s="578">
        <f t="shared" si="83"/>
        <v>29.228615394840826</v>
      </c>
      <c r="P241" s="578">
        <f t="shared" si="84"/>
        <v>87.685846184522475</v>
      </c>
      <c r="Q241" s="578">
        <f t="shared" ref="Q241:Q246" si="94">+P241/4</f>
        <v>21.921461546130619</v>
      </c>
      <c r="R241" s="658">
        <f t="shared" si="80"/>
        <v>252.88598039616281</v>
      </c>
      <c r="S241" s="578">
        <f t="shared" si="86"/>
        <v>263057.53855356743</v>
      </c>
      <c r="T241" s="578">
        <f t="shared" si="87"/>
        <v>21.921461546130619</v>
      </c>
      <c r="U241" s="578">
        <f t="shared" si="88"/>
        <v>189.6644852971221</v>
      </c>
      <c r="V241" s="578">
        <f t="shared" si="89"/>
        <v>189.6644852971221</v>
      </c>
    </row>
    <row r="242" spans="1:22" ht="15.75" x14ac:dyDescent="0.25">
      <c r="A242" s="129">
        <f t="shared" si="90"/>
        <v>100023</v>
      </c>
      <c r="B242" s="92" t="s">
        <v>78</v>
      </c>
      <c r="C242" s="243">
        <v>3800</v>
      </c>
      <c r="D242" s="577">
        <v>1.2625646930592231E-2</v>
      </c>
      <c r="E242" s="578">
        <f t="shared" si="77"/>
        <v>116914.46157936331</v>
      </c>
      <c r="F242" s="578">
        <f t="shared" si="78"/>
        <v>30.766963573516662</v>
      </c>
      <c r="G242" s="578">
        <f t="shared" si="81"/>
        <v>92.300890720549987</v>
      </c>
      <c r="H242" s="578">
        <f t="shared" si="79"/>
        <v>350743.38473808992</v>
      </c>
      <c r="I242" s="629">
        <v>1.02</v>
      </c>
      <c r="J242" s="24" t="s">
        <v>223</v>
      </c>
      <c r="K242" s="603">
        <v>4.08</v>
      </c>
      <c r="L242" s="603">
        <v>5.58</v>
      </c>
      <c r="M242" s="610">
        <v>0.21</v>
      </c>
      <c r="N242" s="578">
        <f t="shared" si="82"/>
        <v>116914.46157936331</v>
      </c>
      <c r="O242" s="578">
        <f t="shared" si="83"/>
        <v>30.766963573516662</v>
      </c>
      <c r="P242" s="578">
        <f t="shared" si="84"/>
        <v>92.300890720549987</v>
      </c>
      <c r="Q242" s="578">
        <f t="shared" si="94"/>
        <v>23.075222680137497</v>
      </c>
      <c r="R242" s="658">
        <f t="shared" si="80"/>
        <v>171.67965674022298</v>
      </c>
      <c r="S242" s="578">
        <f t="shared" si="86"/>
        <v>350743.38473808992</v>
      </c>
      <c r="T242" s="578">
        <f t="shared" si="87"/>
        <v>23.075222680137497</v>
      </c>
      <c r="U242" s="578">
        <f t="shared" si="88"/>
        <v>128.75974255516724</v>
      </c>
      <c r="V242" s="578">
        <f t="shared" si="89"/>
        <v>128.75974255516724</v>
      </c>
    </row>
    <row r="243" spans="1:22" ht="15.75" x14ac:dyDescent="0.25">
      <c r="A243" s="129">
        <f t="shared" si="90"/>
        <v>100024</v>
      </c>
      <c r="B243" s="95" t="s">
        <v>80</v>
      </c>
      <c r="C243" s="243">
        <v>2300</v>
      </c>
      <c r="D243" s="577">
        <v>1.8938470395888345E-2</v>
      </c>
      <c r="E243" s="578">
        <f t="shared" si="77"/>
        <v>175371.69236904496</v>
      </c>
      <c r="F243" s="578">
        <f t="shared" si="78"/>
        <v>76.248561899584772</v>
      </c>
      <c r="G243" s="578">
        <f t="shared" si="81"/>
        <v>228.7456856987543</v>
      </c>
      <c r="H243" s="578">
        <f t="shared" si="79"/>
        <v>526115.07710713486</v>
      </c>
      <c r="I243" s="629">
        <v>1.1040000000000001</v>
      </c>
      <c r="J243" s="24" t="s">
        <v>223</v>
      </c>
      <c r="K243" s="603">
        <v>4.4160000000000004</v>
      </c>
      <c r="L243" s="603">
        <v>5.9160000000000004</v>
      </c>
      <c r="M243" s="610">
        <v>0.21</v>
      </c>
      <c r="N243" s="578">
        <f t="shared" si="82"/>
        <v>175371.69236904496</v>
      </c>
      <c r="O243" s="578">
        <f t="shared" si="83"/>
        <v>76.248561899584772</v>
      </c>
      <c r="P243" s="578">
        <f t="shared" si="84"/>
        <v>228.7456856987543</v>
      </c>
      <c r="Q243" s="578">
        <f t="shared" si="94"/>
        <v>57.186421424688575</v>
      </c>
      <c r="R243" s="658">
        <f t="shared" si="80"/>
        <v>451.08649219794353</v>
      </c>
      <c r="S243" s="578">
        <f t="shared" si="86"/>
        <v>526115.07710713486</v>
      </c>
      <c r="T243" s="578">
        <f t="shared" si="87"/>
        <v>57.186421424688575</v>
      </c>
      <c r="U243" s="578">
        <f t="shared" si="88"/>
        <v>338.3148691484576</v>
      </c>
      <c r="V243" s="578">
        <f t="shared" si="89"/>
        <v>338.3148691484576</v>
      </c>
    </row>
    <row r="244" spans="1:22" ht="15.75" x14ac:dyDescent="0.25">
      <c r="A244" s="129">
        <f t="shared" si="90"/>
        <v>100025</v>
      </c>
      <c r="B244" s="95" t="s">
        <v>82</v>
      </c>
      <c r="C244" s="243">
        <v>3900</v>
      </c>
      <c r="D244" s="577">
        <v>9.4692351979441727E-3</v>
      </c>
      <c r="E244" s="578">
        <f t="shared" si="77"/>
        <v>87685.846184522481</v>
      </c>
      <c r="F244" s="578">
        <f t="shared" si="78"/>
        <v>22.483550303723714</v>
      </c>
      <c r="G244" s="578">
        <f t="shared" si="81"/>
        <v>67.450650911171138</v>
      </c>
      <c r="H244" s="578">
        <f t="shared" si="79"/>
        <v>263057.53855356743</v>
      </c>
      <c r="I244" s="629">
        <v>2.1239999999999997</v>
      </c>
      <c r="J244" s="24" t="s">
        <v>223</v>
      </c>
      <c r="K244" s="603">
        <v>8.4959999999999987</v>
      </c>
      <c r="L244" s="603">
        <v>9.9959999999999987</v>
      </c>
      <c r="M244" s="610">
        <v>0.21</v>
      </c>
      <c r="N244" s="578">
        <f t="shared" si="82"/>
        <v>87685.846184522481</v>
      </c>
      <c r="O244" s="578">
        <f t="shared" si="83"/>
        <v>22.483550303723714</v>
      </c>
      <c r="P244" s="578">
        <f t="shared" si="84"/>
        <v>67.450650911171138</v>
      </c>
      <c r="Q244" s="578">
        <f t="shared" si="94"/>
        <v>16.862662727792785</v>
      </c>
      <c r="R244" s="658">
        <f t="shared" si="80"/>
        <v>224.74556883602222</v>
      </c>
      <c r="S244" s="578">
        <f t="shared" si="86"/>
        <v>263057.53855356743</v>
      </c>
      <c r="T244" s="578">
        <f t="shared" si="87"/>
        <v>16.862662727792785</v>
      </c>
      <c r="U244" s="578">
        <f t="shared" si="88"/>
        <v>168.55917662701665</v>
      </c>
      <c r="V244" s="578">
        <f t="shared" si="89"/>
        <v>168.55917662701665</v>
      </c>
    </row>
    <row r="245" spans="1:22" ht="15.75" x14ac:dyDescent="0.25">
      <c r="A245" s="129">
        <f t="shared" si="90"/>
        <v>100026</v>
      </c>
      <c r="B245" s="95" t="s">
        <v>84</v>
      </c>
      <c r="C245" s="243">
        <v>3000</v>
      </c>
      <c r="D245" s="577">
        <v>2.0516676262212374E-2</v>
      </c>
      <c r="E245" s="578">
        <f t="shared" si="77"/>
        <v>189986.00006646538</v>
      </c>
      <c r="F245" s="578">
        <f t="shared" si="78"/>
        <v>63.328666688821791</v>
      </c>
      <c r="G245" s="578">
        <f t="shared" si="81"/>
        <v>189.98600006646538</v>
      </c>
      <c r="H245" s="578">
        <f t="shared" si="79"/>
        <v>569958.00019939616</v>
      </c>
      <c r="I245" s="629">
        <v>1.1040000000000001</v>
      </c>
      <c r="J245" s="24" t="s">
        <v>223</v>
      </c>
      <c r="K245" s="603">
        <v>4.4160000000000004</v>
      </c>
      <c r="L245" s="603">
        <v>5.9160000000000004</v>
      </c>
      <c r="M245" s="610">
        <v>0.21</v>
      </c>
      <c r="N245" s="578">
        <f t="shared" si="82"/>
        <v>189986.00006646538</v>
      </c>
      <c r="O245" s="578">
        <f t="shared" si="83"/>
        <v>63.328666688821791</v>
      </c>
      <c r="P245" s="578">
        <f t="shared" si="84"/>
        <v>189.98600006646538</v>
      </c>
      <c r="Q245" s="578">
        <f t="shared" si="94"/>
        <v>47.496500016616345</v>
      </c>
      <c r="R245" s="658">
        <f t="shared" si="80"/>
        <v>374.65239213106975</v>
      </c>
      <c r="S245" s="578">
        <f t="shared" si="86"/>
        <v>569958.00019939616</v>
      </c>
      <c r="T245" s="578">
        <f t="shared" si="87"/>
        <v>47.496500016616345</v>
      </c>
      <c r="U245" s="578">
        <f t="shared" si="88"/>
        <v>280.98929409830231</v>
      </c>
      <c r="V245" s="578">
        <f t="shared" si="89"/>
        <v>280.98929409830231</v>
      </c>
    </row>
    <row r="246" spans="1:22" ht="15.75" x14ac:dyDescent="0.25">
      <c r="A246" s="129">
        <f t="shared" si="90"/>
        <v>100027</v>
      </c>
      <c r="B246" s="95" t="s">
        <v>85</v>
      </c>
      <c r="C246" s="118">
        <v>4100</v>
      </c>
      <c r="D246" s="577">
        <v>7.8910293316201436E-3</v>
      </c>
      <c r="E246" s="578">
        <f t="shared" si="77"/>
        <v>73071.538487102065</v>
      </c>
      <c r="F246" s="578">
        <f t="shared" si="78"/>
        <v>17.822326460268798</v>
      </c>
      <c r="G246" s="578">
        <f t="shared" si="81"/>
        <v>53.466979380806393</v>
      </c>
      <c r="H246" s="578">
        <f t="shared" si="79"/>
        <v>219214.61546130621</v>
      </c>
      <c r="I246" s="631">
        <v>2.1239999999999997</v>
      </c>
      <c r="J246" s="24" t="s">
        <v>223</v>
      </c>
      <c r="K246" s="604">
        <v>8.4959999999999987</v>
      </c>
      <c r="L246" s="604">
        <v>9.9959999999999987</v>
      </c>
      <c r="M246" s="611">
        <v>0.21</v>
      </c>
      <c r="N246" s="578">
        <f t="shared" si="82"/>
        <v>73071.538487102065</v>
      </c>
      <c r="O246" s="578">
        <f t="shared" si="83"/>
        <v>17.822326460268798</v>
      </c>
      <c r="P246" s="578">
        <f t="shared" si="84"/>
        <v>53.466979380806393</v>
      </c>
      <c r="Q246" s="578">
        <f t="shared" si="94"/>
        <v>13.366744845201598</v>
      </c>
      <c r="R246" s="658">
        <f t="shared" si="80"/>
        <v>178.15197529684687</v>
      </c>
      <c r="S246" s="578">
        <f t="shared" si="86"/>
        <v>219214.61546130621</v>
      </c>
      <c r="T246" s="578">
        <f t="shared" si="87"/>
        <v>13.366744845201598</v>
      </c>
      <c r="U246" s="578">
        <f t="shared" si="88"/>
        <v>133.61398147263515</v>
      </c>
      <c r="V246" s="578">
        <f t="shared" si="89"/>
        <v>133.61398147263515</v>
      </c>
    </row>
    <row r="247" spans="1:22" ht="15.75" x14ac:dyDescent="0.25">
      <c r="A247" s="129">
        <f>+A246+1</f>
        <v>100028</v>
      </c>
      <c r="B247" s="95" t="s">
        <v>86</v>
      </c>
      <c r="C247" s="245">
        <v>2350</v>
      </c>
      <c r="D247" s="577">
        <v>7.8910293316201436E-3</v>
      </c>
      <c r="E247" s="578">
        <f t="shared" si="77"/>
        <v>73071.538487102065</v>
      </c>
      <c r="F247" s="578">
        <f t="shared" si="78"/>
        <v>31.094271696639176</v>
      </c>
      <c r="G247" s="578">
        <f t="shared" si="81"/>
        <v>93.282815089917534</v>
      </c>
      <c r="H247" s="578">
        <f t="shared" si="79"/>
        <v>219214.61546130621</v>
      </c>
      <c r="I247" s="633">
        <v>1.2000000000000002</v>
      </c>
      <c r="J247" s="24" t="s">
        <v>216</v>
      </c>
      <c r="K247" s="605">
        <v>24.000000000000004</v>
      </c>
      <c r="L247" s="605">
        <v>25.500000000000004</v>
      </c>
      <c r="M247" s="612">
        <v>0.21</v>
      </c>
      <c r="N247" s="578">
        <f t="shared" si="82"/>
        <v>73071.538487102065</v>
      </c>
      <c r="O247" s="578">
        <f t="shared" si="83"/>
        <v>31.094271696639176</v>
      </c>
      <c r="P247" s="578">
        <f t="shared" si="84"/>
        <v>93.282815089917534</v>
      </c>
      <c r="Q247" s="578">
        <f t="shared" ref="Q247" si="95">+P247/20</f>
        <v>4.6641407544958771</v>
      </c>
      <c r="R247" s="658">
        <f t="shared" si="80"/>
        <v>792.90392826429911</v>
      </c>
      <c r="S247" s="578">
        <f t="shared" si="86"/>
        <v>219214.61546130621</v>
      </c>
      <c r="T247" s="578">
        <f t="shared" si="87"/>
        <v>4.6641407544958771</v>
      </c>
      <c r="U247" s="578">
        <f t="shared" si="88"/>
        <v>118.93558923964488</v>
      </c>
      <c r="V247" s="578">
        <f t="shared" si="89"/>
        <v>118.93558923964488</v>
      </c>
    </row>
    <row r="248" spans="1:22" ht="15.75" x14ac:dyDescent="0.25">
      <c r="A248" s="129">
        <f t="shared" si="90"/>
        <v>100029</v>
      </c>
      <c r="B248" s="95" t="s">
        <v>89</v>
      </c>
      <c r="C248" s="245">
        <v>3000</v>
      </c>
      <c r="D248" s="577">
        <v>6.3128234652961154E-3</v>
      </c>
      <c r="E248" s="578">
        <f t="shared" si="77"/>
        <v>58457.230789681656</v>
      </c>
      <c r="F248" s="578">
        <f t="shared" si="78"/>
        <v>19.485743596560553</v>
      </c>
      <c r="G248" s="578">
        <f t="shared" si="81"/>
        <v>58.45723078968166</v>
      </c>
      <c r="H248" s="578">
        <f t="shared" si="79"/>
        <v>175371.69236904499</v>
      </c>
      <c r="I248" s="633">
        <v>6</v>
      </c>
      <c r="J248" s="24" t="s">
        <v>223</v>
      </c>
      <c r="K248" s="605">
        <v>24</v>
      </c>
      <c r="L248" s="605">
        <v>25.5</v>
      </c>
      <c r="M248" s="612">
        <v>0.21</v>
      </c>
      <c r="N248" s="578">
        <f t="shared" si="82"/>
        <v>58457.230789681656</v>
      </c>
      <c r="O248" s="578">
        <f t="shared" si="83"/>
        <v>19.485743596560553</v>
      </c>
      <c r="P248" s="578">
        <f t="shared" si="84"/>
        <v>58.45723078968166</v>
      </c>
      <c r="Q248" s="578">
        <f t="shared" ref="Q248" si="96">+P248/4</f>
        <v>14.614307697420415</v>
      </c>
      <c r="R248" s="658">
        <f t="shared" si="80"/>
        <v>496.88646171229414</v>
      </c>
      <c r="S248" s="578">
        <f t="shared" si="86"/>
        <v>175371.69236904499</v>
      </c>
      <c r="T248" s="578">
        <f t="shared" si="87"/>
        <v>14.614307697420415</v>
      </c>
      <c r="U248" s="578">
        <f t="shared" si="88"/>
        <v>372.66484628422057</v>
      </c>
      <c r="V248" s="578">
        <f t="shared" si="89"/>
        <v>372.66484628422057</v>
      </c>
    </row>
    <row r="249" spans="1:22" ht="15.75" x14ac:dyDescent="0.25">
      <c r="A249" s="129">
        <f t="shared" si="90"/>
        <v>100030</v>
      </c>
      <c r="B249" s="95" t="s">
        <v>91</v>
      </c>
      <c r="C249" s="245">
        <v>2300</v>
      </c>
      <c r="D249" s="577">
        <v>4.7346175989720863E-3</v>
      </c>
      <c r="E249" s="578">
        <f t="shared" si="77"/>
        <v>43842.923092261241</v>
      </c>
      <c r="F249" s="578">
        <f t="shared" si="78"/>
        <v>19.062140474896193</v>
      </c>
      <c r="G249" s="578">
        <f t="shared" si="81"/>
        <v>57.186421424688575</v>
      </c>
      <c r="H249" s="578">
        <f t="shared" si="79"/>
        <v>131528.76927678371</v>
      </c>
      <c r="I249" s="633">
        <v>3</v>
      </c>
      <c r="J249" s="24" t="s">
        <v>224</v>
      </c>
      <c r="K249" s="605">
        <v>24</v>
      </c>
      <c r="L249" s="605">
        <v>25.5</v>
      </c>
      <c r="M249" s="612">
        <v>0.21</v>
      </c>
      <c r="N249" s="578">
        <f t="shared" si="82"/>
        <v>43842.923092261241</v>
      </c>
      <c r="O249" s="578">
        <f t="shared" si="83"/>
        <v>19.062140474896193</v>
      </c>
      <c r="P249" s="578">
        <f t="shared" si="84"/>
        <v>57.186421424688575</v>
      </c>
      <c r="Q249" s="578">
        <f>+P249/8</f>
        <v>7.1483026780860719</v>
      </c>
      <c r="R249" s="658">
        <f t="shared" si="80"/>
        <v>486.08458210985293</v>
      </c>
      <c r="S249" s="578">
        <f t="shared" si="86"/>
        <v>131528.76927678371</v>
      </c>
      <c r="T249" s="578">
        <f t="shared" si="87"/>
        <v>7.1483026780860719</v>
      </c>
      <c r="U249" s="578">
        <f t="shared" si="88"/>
        <v>182.28171829119484</v>
      </c>
      <c r="V249" s="578">
        <f t="shared" si="89"/>
        <v>182.28171829119484</v>
      </c>
    </row>
    <row r="250" spans="1:22" ht="15.75" x14ac:dyDescent="0.25">
      <c r="A250" s="129">
        <f t="shared" si="90"/>
        <v>100031</v>
      </c>
      <c r="B250" s="95" t="s">
        <v>93</v>
      </c>
      <c r="C250" s="245">
        <v>3800</v>
      </c>
      <c r="D250" s="577">
        <v>6.3128234652961154E-3</v>
      </c>
      <c r="E250" s="578">
        <f t="shared" si="77"/>
        <v>58457.230789681656</v>
      </c>
      <c r="F250" s="578">
        <f t="shared" si="78"/>
        <v>15.383481786758331</v>
      </c>
      <c r="G250" s="578">
        <f t="shared" si="81"/>
        <v>46.150445360274993</v>
      </c>
      <c r="H250" s="578">
        <f t="shared" si="79"/>
        <v>175371.69236904496</v>
      </c>
      <c r="I250" s="633">
        <v>3.5999999999999996</v>
      </c>
      <c r="J250" s="34" t="s">
        <v>233</v>
      </c>
      <c r="K250" s="605">
        <v>25.199999999999996</v>
      </c>
      <c r="L250" s="605">
        <v>26.699999999999996</v>
      </c>
      <c r="M250" s="612">
        <v>0.21</v>
      </c>
      <c r="N250" s="578">
        <f t="shared" si="82"/>
        <v>58457.230789681656</v>
      </c>
      <c r="O250" s="578">
        <f t="shared" si="83"/>
        <v>15.383481786758331</v>
      </c>
      <c r="P250" s="578">
        <f t="shared" si="84"/>
        <v>46.150445360274993</v>
      </c>
      <c r="Q250" s="578">
        <f>+P249/7</f>
        <v>8.1694887749555107</v>
      </c>
      <c r="R250" s="658">
        <f t="shared" si="80"/>
        <v>410.73896370644735</v>
      </c>
      <c r="S250" s="578">
        <f t="shared" si="86"/>
        <v>175371.69236904496</v>
      </c>
      <c r="T250" s="578">
        <f t="shared" si="87"/>
        <v>8.1694887749555107</v>
      </c>
      <c r="U250" s="578">
        <f t="shared" si="88"/>
        <v>218.12535029131209</v>
      </c>
      <c r="V250" s="578">
        <f t="shared" si="89"/>
        <v>218.12535029131209</v>
      </c>
    </row>
    <row r="251" spans="1:22" ht="15.75" x14ac:dyDescent="0.25">
      <c r="A251" s="129">
        <f t="shared" si="90"/>
        <v>100032</v>
      </c>
      <c r="B251" s="95" t="s">
        <v>95</v>
      </c>
      <c r="C251" s="245">
        <v>4000</v>
      </c>
      <c r="D251" s="577">
        <v>6.3128234652961154E-3</v>
      </c>
      <c r="E251" s="578">
        <f t="shared" si="77"/>
        <v>58457.230789681656</v>
      </c>
      <c r="F251" s="578">
        <f t="shared" si="78"/>
        <v>14.614307697420415</v>
      </c>
      <c r="G251" s="578">
        <f t="shared" si="81"/>
        <v>43.842923092261245</v>
      </c>
      <c r="H251" s="578">
        <f t="shared" si="79"/>
        <v>175371.69236904499</v>
      </c>
      <c r="I251" s="633">
        <v>10</v>
      </c>
      <c r="J251" s="34" t="s">
        <v>234</v>
      </c>
      <c r="K251" s="605">
        <v>20</v>
      </c>
      <c r="L251" s="605">
        <v>21.5</v>
      </c>
      <c r="M251" s="612">
        <v>0.21</v>
      </c>
      <c r="N251" s="578">
        <f t="shared" si="82"/>
        <v>58457.230789681656</v>
      </c>
      <c r="O251" s="578">
        <f t="shared" si="83"/>
        <v>14.614307697420415</v>
      </c>
      <c r="P251" s="578">
        <f t="shared" si="84"/>
        <v>43.842923092261245</v>
      </c>
      <c r="Q251" s="578">
        <f>+P250/2</f>
        <v>23.075222680137497</v>
      </c>
      <c r="R251" s="658">
        <f t="shared" si="80"/>
        <v>314.20761549453891</v>
      </c>
      <c r="S251" s="578">
        <f t="shared" si="86"/>
        <v>175371.69236904499</v>
      </c>
      <c r="T251" s="578">
        <f t="shared" si="87"/>
        <v>23.075222680137497</v>
      </c>
      <c r="U251" s="578">
        <f t="shared" si="88"/>
        <v>496.11728762295616</v>
      </c>
      <c r="V251" s="578">
        <f t="shared" si="89"/>
        <v>496.11728762295616</v>
      </c>
    </row>
    <row r="252" spans="1:22" ht="15.75" x14ac:dyDescent="0.25">
      <c r="A252" s="129">
        <f>+A251+1</f>
        <v>100033</v>
      </c>
      <c r="B252" s="96" t="s">
        <v>22</v>
      </c>
      <c r="C252" s="245">
        <v>1910</v>
      </c>
      <c r="D252" s="577">
        <v>9.0314908671449881E-2</v>
      </c>
      <c r="E252" s="578">
        <f t="shared" si="77"/>
        <v>836323.0001566849</v>
      </c>
      <c r="F252" s="578">
        <f t="shared" si="78"/>
        <v>437.86544510821199</v>
      </c>
      <c r="G252" s="578">
        <f t="shared" si="81"/>
        <v>1313.5963353246359</v>
      </c>
      <c r="H252" s="578">
        <f t="shared" si="79"/>
        <v>2508969.0004700548</v>
      </c>
      <c r="I252" s="633">
        <v>6.9000000000000006E-2</v>
      </c>
      <c r="J252" s="34" t="s">
        <v>216</v>
      </c>
      <c r="K252" s="605">
        <v>1.3800000000000001</v>
      </c>
      <c r="L252" s="605">
        <v>2.13</v>
      </c>
      <c r="M252" s="612">
        <v>1.2000000000000002E-2</v>
      </c>
      <c r="N252" s="578">
        <f t="shared" si="82"/>
        <v>836323.0001566849</v>
      </c>
      <c r="O252" s="578">
        <f t="shared" si="83"/>
        <v>437.86544510821199</v>
      </c>
      <c r="P252" s="578">
        <f t="shared" si="84"/>
        <v>1313.5963353246359</v>
      </c>
      <c r="Q252" s="578">
        <f t="shared" ref="Q252:Q253" si="97">+P252/20</f>
        <v>65.679816766231795</v>
      </c>
      <c r="R252" s="658">
        <f t="shared" si="80"/>
        <v>932.65339808049146</v>
      </c>
      <c r="S252" s="578">
        <f t="shared" si="86"/>
        <v>2508969.0004700548</v>
      </c>
      <c r="T252" s="578">
        <f t="shared" si="87"/>
        <v>65.679816766231795</v>
      </c>
      <c r="U252" s="578">
        <f t="shared" si="88"/>
        <v>139.89800971207373</v>
      </c>
      <c r="V252" s="578">
        <f t="shared" si="89"/>
        <v>139.89800971207373</v>
      </c>
    </row>
    <row r="253" spans="1:22" ht="15.75" x14ac:dyDescent="0.25">
      <c r="A253" s="129">
        <f t="shared" si="90"/>
        <v>100034</v>
      </c>
      <c r="B253" s="97" t="s">
        <v>23</v>
      </c>
      <c r="C253" s="245">
        <v>2170</v>
      </c>
      <c r="D253" s="577">
        <v>8.426193680204401E-2</v>
      </c>
      <c r="E253" s="578">
        <f t="shared" si="77"/>
        <v>780272.01512938342</v>
      </c>
      <c r="F253" s="578">
        <f t="shared" si="78"/>
        <v>359.57235720248082</v>
      </c>
      <c r="G253" s="578">
        <f t="shared" si="81"/>
        <v>1078.7170716074424</v>
      </c>
      <c r="H253" s="578">
        <f t="shared" si="79"/>
        <v>2340816.04538815</v>
      </c>
      <c r="I253" s="633">
        <v>7.1999999999999995E-2</v>
      </c>
      <c r="J253" s="34" t="s">
        <v>216</v>
      </c>
      <c r="K253" s="605">
        <v>1.44</v>
      </c>
      <c r="L253" s="605">
        <v>2.19</v>
      </c>
      <c r="M253" s="612">
        <v>1.2000000000000002E-2</v>
      </c>
      <c r="N253" s="578">
        <f t="shared" si="82"/>
        <v>780272.01512938342</v>
      </c>
      <c r="O253" s="578">
        <f t="shared" si="83"/>
        <v>359.57235720248082</v>
      </c>
      <c r="P253" s="578">
        <f t="shared" si="84"/>
        <v>1078.7170716074424</v>
      </c>
      <c r="Q253" s="578">
        <f t="shared" si="97"/>
        <v>53.935853580372125</v>
      </c>
      <c r="R253" s="658">
        <f t="shared" si="80"/>
        <v>787.46346227343292</v>
      </c>
      <c r="S253" s="578">
        <f t="shared" si="86"/>
        <v>2340816.04538815</v>
      </c>
      <c r="T253" s="578">
        <f t="shared" si="87"/>
        <v>53.935853580372125</v>
      </c>
      <c r="U253" s="578">
        <f t="shared" si="88"/>
        <v>118.11951934101495</v>
      </c>
      <c r="V253" s="578">
        <f t="shared" si="89"/>
        <v>118.11951934101495</v>
      </c>
    </row>
    <row r="254" spans="1:22" ht="15.75" x14ac:dyDescent="0.25">
      <c r="A254" s="129">
        <f t="shared" si="90"/>
        <v>100035</v>
      </c>
      <c r="B254" s="97" t="s">
        <v>24</v>
      </c>
      <c r="C254" s="245">
        <v>1670</v>
      </c>
      <c r="D254" s="577">
        <v>6.7433738076879732E-2</v>
      </c>
      <c r="E254" s="578">
        <f t="shared" si="77"/>
        <v>624441.60072614916</v>
      </c>
      <c r="F254" s="578">
        <f t="shared" si="78"/>
        <v>373.91712618332286</v>
      </c>
      <c r="G254" s="578">
        <f t="shared" si="81"/>
        <v>1121.7513785499686</v>
      </c>
      <c r="H254" s="578">
        <f t="shared" si="79"/>
        <v>1873324.8021784476</v>
      </c>
      <c r="I254" s="633">
        <v>4.8000000000000001E-2</v>
      </c>
      <c r="J254" s="34" t="s">
        <v>227</v>
      </c>
      <c r="K254" s="605">
        <v>0.86399999999999999</v>
      </c>
      <c r="L254" s="605">
        <v>1.8639999999999999</v>
      </c>
      <c r="M254" s="612">
        <v>0.03</v>
      </c>
      <c r="N254" s="578">
        <f t="shared" si="82"/>
        <v>624441.60072614916</v>
      </c>
      <c r="O254" s="578">
        <f t="shared" si="83"/>
        <v>373.91712618332286</v>
      </c>
      <c r="P254" s="578">
        <f t="shared" si="84"/>
        <v>1121.7513785499686</v>
      </c>
      <c r="Q254" s="578">
        <f>+P254/18</f>
        <v>62.319521030553815</v>
      </c>
      <c r="R254" s="658">
        <f t="shared" si="80"/>
        <v>696.98152320571376</v>
      </c>
      <c r="S254" s="578">
        <f t="shared" si="86"/>
        <v>1873324.8021784476</v>
      </c>
      <c r="T254" s="578">
        <f t="shared" si="87"/>
        <v>62.319521030553815</v>
      </c>
      <c r="U254" s="578">
        <f t="shared" si="88"/>
        <v>116.16358720095231</v>
      </c>
      <c r="V254" s="578">
        <f t="shared" si="89"/>
        <v>116.16358720095231</v>
      </c>
    </row>
    <row r="255" spans="1:22" ht="15.75" x14ac:dyDescent="0.25">
      <c r="A255" s="129">
        <f t="shared" si="90"/>
        <v>100036</v>
      </c>
      <c r="B255" s="97" t="s">
        <v>25</v>
      </c>
      <c r="C255" s="245">
        <v>1020</v>
      </c>
      <c r="D255" s="577">
        <v>3.3307666560733154E-2</v>
      </c>
      <c r="E255" s="578">
        <f t="shared" si="77"/>
        <v>308431.55394892843</v>
      </c>
      <c r="F255" s="578">
        <f t="shared" si="78"/>
        <v>302.38387642051805</v>
      </c>
      <c r="G255" s="578">
        <f t="shared" si="81"/>
        <v>907.15162926155415</v>
      </c>
      <c r="H255" s="578">
        <f t="shared" si="79"/>
        <v>925294.66184678522</v>
      </c>
      <c r="I255" s="633">
        <v>6.5000000000000002E-2</v>
      </c>
      <c r="J255" s="34" t="s">
        <v>216</v>
      </c>
      <c r="K255" s="605">
        <v>1.3</v>
      </c>
      <c r="L255" s="605">
        <v>2.0499999999999998</v>
      </c>
      <c r="M255" s="612">
        <v>1.2000000000000002E-2</v>
      </c>
      <c r="N255" s="578">
        <f t="shared" si="82"/>
        <v>308431.55394892843</v>
      </c>
      <c r="O255" s="578">
        <f t="shared" si="83"/>
        <v>302.38387642051805</v>
      </c>
      <c r="P255" s="578">
        <f t="shared" si="84"/>
        <v>907.15162926155415</v>
      </c>
      <c r="Q255" s="578">
        <f t="shared" ref="Q255" si="98">+P255/20</f>
        <v>45.357581463077707</v>
      </c>
      <c r="R255" s="658">
        <f t="shared" si="80"/>
        <v>619.88694666206197</v>
      </c>
      <c r="S255" s="578">
        <f t="shared" si="86"/>
        <v>925294.66184678522</v>
      </c>
      <c r="T255" s="578">
        <f t="shared" si="87"/>
        <v>45.357581463077707</v>
      </c>
      <c r="U255" s="578">
        <f t="shared" si="88"/>
        <v>92.983041999309293</v>
      </c>
      <c r="V255" s="578">
        <f t="shared" si="89"/>
        <v>92.983041999309293</v>
      </c>
    </row>
    <row r="256" spans="1:22" ht="15.75" x14ac:dyDescent="0.25">
      <c r="A256" s="129">
        <f t="shared" si="90"/>
        <v>100037</v>
      </c>
      <c r="B256" s="97" t="s">
        <v>26</v>
      </c>
      <c r="C256" s="245">
        <v>1430</v>
      </c>
      <c r="D256" s="577">
        <v>3.6844741548338569E-2</v>
      </c>
      <c r="E256" s="578">
        <f t="shared" si="77"/>
        <v>341185.1403603871</v>
      </c>
      <c r="F256" s="578">
        <f t="shared" si="78"/>
        <v>238.59100724502593</v>
      </c>
      <c r="G256" s="578">
        <f t="shared" si="81"/>
        <v>715.7730217350778</v>
      </c>
      <c r="H256" s="578">
        <f t="shared" si="79"/>
        <v>1023555.4210811612</v>
      </c>
      <c r="I256" s="633">
        <v>8.5999999999999993E-2</v>
      </c>
      <c r="J256" s="34" t="s">
        <v>214</v>
      </c>
      <c r="K256" s="605">
        <v>1.032</v>
      </c>
      <c r="L256" s="605">
        <v>1.782</v>
      </c>
      <c r="M256" s="612">
        <v>1.2000000000000002E-2</v>
      </c>
      <c r="N256" s="578">
        <f t="shared" si="82"/>
        <v>341185.1403603871</v>
      </c>
      <c r="O256" s="578">
        <f t="shared" si="83"/>
        <v>238.59100724502593</v>
      </c>
      <c r="P256" s="578">
        <f t="shared" si="84"/>
        <v>715.7730217350778</v>
      </c>
      <c r="Q256" s="578">
        <f>+P256/12</f>
        <v>59.647751811256484</v>
      </c>
      <c r="R256" s="658">
        <f t="shared" si="80"/>
        <v>425.16917491063623</v>
      </c>
      <c r="S256" s="578">
        <f t="shared" si="86"/>
        <v>1023555.4210811612</v>
      </c>
      <c r="T256" s="578">
        <f t="shared" si="87"/>
        <v>59.647751811256484</v>
      </c>
      <c r="U256" s="578">
        <f t="shared" si="88"/>
        <v>106.29229372765906</v>
      </c>
      <c r="V256" s="578">
        <f t="shared" si="89"/>
        <v>106.29229372765906</v>
      </c>
    </row>
    <row r="257" spans="1:22" ht="15.75" x14ac:dyDescent="0.25">
      <c r="A257" s="129">
        <f t="shared" si="90"/>
        <v>100038</v>
      </c>
      <c r="B257" s="97" t="s">
        <v>27</v>
      </c>
      <c r="C257" s="245">
        <v>13260</v>
      </c>
      <c r="D257" s="577">
        <v>3.0684977748644777E-2</v>
      </c>
      <c r="E257" s="578">
        <f t="shared" si="77"/>
        <v>284145.25384556025</v>
      </c>
      <c r="F257" s="578">
        <f t="shared" si="78"/>
        <v>21.428752175381618</v>
      </c>
      <c r="G257" s="578">
        <f t="shared" si="81"/>
        <v>64.286256526144854</v>
      </c>
      <c r="H257" s="578">
        <f t="shared" si="79"/>
        <v>852435.76153668074</v>
      </c>
      <c r="I257" s="633">
        <v>0.53500000000000003</v>
      </c>
      <c r="J257" s="34" t="s">
        <v>213</v>
      </c>
      <c r="K257" s="605">
        <v>12.84</v>
      </c>
      <c r="L257" s="605">
        <v>14.34</v>
      </c>
      <c r="M257" s="612">
        <v>0.21</v>
      </c>
      <c r="N257" s="578">
        <f t="shared" si="82"/>
        <v>284145.25384556025</v>
      </c>
      <c r="O257" s="578">
        <f t="shared" si="83"/>
        <v>21.428752175381618</v>
      </c>
      <c r="P257" s="578">
        <f t="shared" si="84"/>
        <v>64.286256526144854</v>
      </c>
      <c r="Q257" s="578">
        <f>+P257/24</f>
        <v>2.6785940219227022</v>
      </c>
      <c r="R257" s="658">
        <f t="shared" si="80"/>
        <v>307.28830619497239</v>
      </c>
      <c r="S257" s="578">
        <f t="shared" si="86"/>
        <v>852435.76153668074</v>
      </c>
      <c r="T257" s="578">
        <f t="shared" si="87"/>
        <v>2.6785940219227022</v>
      </c>
      <c r="U257" s="578">
        <f t="shared" si="88"/>
        <v>38.411038274371549</v>
      </c>
      <c r="V257" s="578">
        <f t="shared" si="89"/>
        <v>38.411038274371549</v>
      </c>
    </row>
    <row r="258" spans="1:22" ht="15.75" x14ac:dyDescent="0.25">
      <c r="A258" s="129">
        <f t="shared" si="90"/>
        <v>100039</v>
      </c>
      <c r="B258" s="97" t="s">
        <v>28</v>
      </c>
      <c r="C258" s="245">
        <v>2840</v>
      </c>
      <c r="D258" s="577">
        <v>1.7045228335214935E-2</v>
      </c>
      <c r="E258" s="578">
        <f t="shared" si="77"/>
        <v>157840.12528342448</v>
      </c>
      <c r="F258" s="578">
        <f t="shared" si="78"/>
        <v>55.577508902614255</v>
      </c>
      <c r="G258" s="578">
        <f t="shared" si="81"/>
        <v>166.73252670784277</v>
      </c>
      <c r="H258" s="578">
        <f t="shared" si="79"/>
        <v>473520.37585027347</v>
      </c>
      <c r="I258" s="633">
        <v>9.2999999999999999E-2</v>
      </c>
      <c r="J258" s="34" t="s">
        <v>228</v>
      </c>
      <c r="K258" s="605">
        <v>4.4640000000000004</v>
      </c>
      <c r="L258" s="605">
        <v>5.9640000000000004</v>
      </c>
      <c r="M258" s="612">
        <v>0.21</v>
      </c>
      <c r="N258" s="578">
        <f t="shared" si="82"/>
        <v>157840.12528342448</v>
      </c>
      <c r="O258" s="578">
        <f t="shared" si="83"/>
        <v>55.577508902614255</v>
      </c>
      <c r="P258" s="578">
        <f t="shared" si="84"/>
        <v>166.73252670784277</v>
      </c>
      <c r="Q258" s="578">
        <f>+P258/48</f>
        <v>3.473594306413391</v>
      </c>
      <c r="R258" s="658">
        <f t="shared" si="80"/>
        <v>331.46426309519143</v>
      </c>
      <c r="S258" s="578">
        <f t="shared" si="86"/>
        <v>473520.37585027347</v>
      </c>
      <c r="T258" s="578">
        <f t="shared" si="87"/>
        <v>3.473594306413391</v>
      </c>
      <c r="U258" s="578">
        <f t="shared" si="88"/>
        <v>20.716516443449464</v>
      </c>
      <c r="V258" s="578">
        <f t="shared" si="89"/>
        <v>20.716516443449464</v>
      </c>
    </row>
    <row r="259" spans="1:22" ht="15.75" x14ac:dyDescent="0.25">
      <c r="A259" s="129">
        <f t="shared" si="90"/>
        <v>100040</v>
      </c>
      <c r="B259" s="97" t="s">
        <v>29</v>
      </c>
      <c r="C259" s="245">
        <v>3800</v>
      </c>
      <c r="D259" s="577">
        <v>1.5376328238439485E-2</v>
      </c>
      <c r="E259" s="578">
        <f t="shared" si="77"/>
        <v>142385.9820369923</v>
      </c>
      <c r="F259" s="578">
        <f t="shared" si="78"/>
        <v>37.46999527289271</v>
      </c>
      <c r="G259" s="578">
        <f t="shared" si="81"/>
        <v>112.40998581867814</v>
      </c>
      <c r="H259" s="578">
        <f t="shared" si="79"/>
        <v>427157.94611097692</v>
      </c>
      <c r="I259" s="633">
        <v>0.05</v>
      </c>
      <c r="J259" s="34" t="s">
        <v>222</v>
      </c>
      <c r="K259" s="605">
        <v>5</v>
      </c>
      <c r="L259" s="605">
        <v>6.5</v>
      </c>
      <c r="M259" s="612">
        <v>0.21</v>
      </c>
      <c r="N259" s="578">
        <f t="shared" si="82"/>
        <v>142385.9820369923</v>
      </c>
      <c r="O259" s="578">
        <f t="shared" si="83"/>
        <v>37.46999527289271</v>
      </c>
      <c r="P259" s="578">
        <f t="shared" si="84"/>
        <v>112.40998581867814</v>
      </c>
      <c r="Q259" s="578">
        <f>+P259/100</f>
        <v>1.1240998581867814</v>
      </c>
      <c r="R259" s="658">
        <f t="shared" si="80"/>
        <v>243.55496927380261</v>
      </c>
      <c r="S259" s="578">
        <f t="shared" si="86"/>
        <v>427157.94611097692</v>
      </c>
      <c r="T259" s="578">
        <f t="shared" si="87"/>
        <v>1.1240998581867814</v>
      </c>
      <c r="U259" s="578">
        <f t="shared" si="88"/>
        <v>7.3066490782140789</v>
      </c>
      <c r="V259" s="578">
        <f t="shared" si="89"/>
        <v>7.3066490782140789</v>
      </c>
    </row>
    <row r="260" spans="1:22" x14ac:dyDescent="0.25">
      <c r="A260" s="129">
        <f>+A259+1</f>
        <v>100041</v>
      </c>
      <c r="B260" s="97" t="s">
        <v>106</v>
      </c>
      <c r="C260" s="247">
        <v>3440</v>
      </c>
      <c r="D260" s="577">
        <v>1.739718356852692E-2</v>
      </c>
      <c r="E260" s="578">
        <f t="shared" si="77"/>
        <v>161099.25781175503</v>
      </c>
      <c r="F260" s="578">
        <f t="shared" si="78"/>
        <v>46.831179596440414</v>
      </c>
      <c r="G260" s="578">
        <f t="shared" si="81"/>
        <v>140.49353878932124</v>
      </c>
      <c r="H260" s="578">
        <f t="shared" si="79"/>
        <v>483297.77343526506</v>
      </c>
      <c r="I260" s="635">
        <v>0.4</v>
      </c>
      <c r="J260" s="38" t="s">
        <v>213</v>
      </c>
      <c r="K260" s="606">
        <v>9.6000000000000014</v>
      </c>
      <c r="L260" s="606">
        <v>11.100000000000001</v>
      </c>
      <c r="M260" s="613">
        <v>0.21</v>
      </c>
      <c r="N260" s="578">
        <f t="shared" si="82"/>
        <v>161099.25781175503</v>
      </c>
      <c r="O260" s="578">
        <f t="shared" si="83"/>
        <v>46.831179596440414</v>
      </c>
      <c r="P260" s="578">
        <f t="shared" si="84"/>
        <v>140.49353878932124</v>
      </c>
      <c r="Q260" s="578">
        <f>+P260/44</f>
        <v>3.1930349724845737</v>
      </c>
      <c r="R260" s="658">
        <f t="shared" si="80"/>
        <v>519.82609352048871</v>
      </c>
      <c r="S260" s="578">
        <f t="shared" si="86"/>
        <v>483297.77343526506</v>
      </c>
      <c r="T260" s="578">
        <f t="shared" si="87"/>
        <v>3.1930349724845737</v>
      </c>
      <c r="U260" s="578">
        <f t="shared" si="88"/>
        <v>35.442688194578771</v>
      </c>
      <c r="V260" s="578">
        <f t="shared" si="89"/>
        <v>35.442688194578771</v>
      </c>
    </row>
    <row r="261" spans="1:22" x14ac:dyDescent="0.25">
      <c r="A261" s="129">
        <f t="shared" si="90"/>
        <v>100042</v>
      </c>
      <c r="B261" s="97" t="s">
        <v>106</v>
      </c>
      <c r="C261" s="247">
        <v>2060</v>
      </c>
      <c r="D261" s="577">
        <v>2.0415136022876802E-2</v>
      </c>
      <c r="E261" s="578">
        <f t="shared" si="77"/>
        <v>189045.72964105112</v>
      </c>
      <c r="F261" s="578">
        <f t="shared" si="78"/>
        <v>91.769771670413164</v>
      </c>
      <c r="G261" s="578">
        <f t="shared" si="81"/>
        <v>275.30931501123951</v>
      </c>
      <c r="H261" s="578">
        <f t="shared" si="79"/>
        <v>567137.18892315333</v>
      </c>
      <c r="I261" s="635">
        <v>0.2</v>
      </c>
      <c r="J261" s="38" t="s">
        <v>228</v>
      </c>
      <c r="K261" s="606">
        <v>9.6000000000000014</v>
      </c>
      <c r="L261" s="606">
        <v>11.100000000000001</v>
      </c>
      <c r="M261" s="613">
        <v>0.21</v>
      </c>
      <c r="N261" s="578">
        <f t="shared" si="82"/>
        <v>189045.72964105112</v>
      </c>
      <c r="O261" s="578">
        <f t="shared" si="83"/>
        <v>91.769771670413164</v>
      </c>
      <c r="P261" s="578">
        <f t="shared" si="84"/>
        <v>275.30931501123951</v>
      </c>
      <c r="Q261" s="578">
        <f>+P261/48</f>
        <v>5.7356107294008227</v>
      </c>
      <c r="R261" s="658">
        <f t="shared" si="80"/>
        <v>1018.6444655415862</v>
      </c>
      <c r="S261" s="578">
        <f t="shared" si="86"/>
        <v>567137.18892315333</v>
      </c>
      <c r="T261" s="578">
        <f t="shared" si="87"/>
        <v>5.7356107294008227</v>
      </c>
      <c r="U261" s="578">
        <f t="shared" si="88"/>
        <v>63.665279096349138</v>
      </c>
      <c r="V261" s="578">
        <f t="shared" si="89"/>
        <v>63.665279096349138</v>
      </c>
    </row>
    <row r="262" spans="1:22" x14ac:dyDescent="0.25">
      <c r="A262" s="129">
        <f t="shared" si="90"/>
        <v>100043</v>
      </c>
      <c r="B262" s="97" t="s">
        <v>112</v>
      </c>
      <c r="C262" s="247">
        <v>2810</v>
      </c>
      <c r="D262" s="577">
        <v>1.0509866680215489E-2</v>
      </c>
      <c r="E262" s="578">
        <f t="shared" si="77"/>
        <v>97322.17374231985</v>
      </c>
      <c r="F262" s="578">
        <f t="shared" si="78"/>
        <v>34.634225531074676</v>
      </c>
      <c r="G262" s="578">
        <f t="shared" si="81"/>
        <v>103.90267659322403</v>
      </c>
      <c r="H262" s="578">
        <f t="shared" si="79"/>
        <v>291966.52122695954</v>
      </c>
      <c r="I262" s="635">
        <v>0.2</v>
      </c>
      <c r="J262" s="38" t="s">
        <v>228</v>
      </c>
      <c r="K262" s="606">
        <v>9.6000000000000014</v>
      </c>
      <c r="L262" s="606">
        <v>11.100000000000001</v>
      </c>
      <c r="M262" s="613">
        <v>0.21</v>
      </c>
      <c r="N262" s="578">
        <f t="shared" si="82"/>
        <v>97322.17374231985</v>
      </c>
      <c r="O262" s="578">
        <f t="shared" si="83"/>
        <v>34.634225531074676</v>
      </c>
      <c r="P262" s="578">
        <f t="shared" si="84"/>
        <v>103.90267659322403</v>
      </c>
      <c r="Q262" s="578">
        <f>+P262/48</f>
        <v>2.1646390956921673</v>
      </c>
      <c r="R262" s="658">
        <f t="shared" si="80"/>
        <v>384.43990339492893</v>
      </c>
      <c r="S262" s="578">
        <f t="shared" si="86"/>
        <v>291966.52122695954</v>
      </c>
      <c r="T262" s="578">
        <f t="shared" si="87"/>
        <v>2.1646390956921673</v>
      </c>
      <c r="U262" s="578">
        <f t="shared" si="88"/>
        <v>24.027493962183058</v>
      </c>
      <c r="V262" s="578">
        <f t="shared" si="89"/>
        <v>24.027493962183058</v>
      </c>
    </row>
    <row r="263" spans="1:22" x14ac:dyDescent="0.25">
      <c r="A263" s="129">
        <f t="shared" si="90"/>
        <v>100044</v>
      </c>
      <c r="B263" s="97" t="s">
        <v>113</v>
      </c>
      <c r="C263" s="247">
        <v>4140</v>
      </c>
      <c r="D263" s="577">
        <v>8.5867846919207482E-3</v>
      </c>
      <c r="E263" s="578">
        <f t="shared" si="77"/>
        <v>79514.286632023111</v>
      </c>
      <c r="F263" s="578">
        <f t="shared" si="78"/>
        <v>19.206349428024907</v>
      </c>
      <c r="G263" s="578">
        <f t="shared" si="81"/>
        <v>57.619048284074722</v>
      </c>
      <c r="H263" s="578">
        <f t="shared" si="79"/>
        <v>238542.85989606936</v>
      </c>
      <c r="I263" s="635">
        <v>0.38</v>
      </c>
      <c r="J263" s="38" t="s">
        <v>213</v>
      </c>
      <c r="K263" s="606">
        <v>9.120000000000001</v>
      </c>
      <c r="L263" s="606">
        <v>10.620000000000001</v>
      </c>
      <c r="M263" s="613">
        <v>0.21</v>
      </c>
      <c r="N263" s="578">
        <f t="shared" si="82"/>
        <v>79514.286632023111</v>
      </c>
      <c r="O263" s="578">
        <f t="shared" si="83"/>
        <v>19.206349428024907</v>
      </c>
      <c r="P263" s="578">
        <f t="shared" si="84"/>
        <v>57.619048284074722</v>
      </c>
      <c r="Q263" s="578">
        <f>+P263/24</f>
        <v>2.4007936785031134</v>
      </c>
      <c r="R263" s="658">
        <f t="shared" si="80"/>
        <v>203.97143092562453</v>
      </c>
      <c r="S263" s="578">
        <f t="shared" si="86"/>
        <v>238542.85989606936</v>
      </c>
      <c r="T263" s="578">
        <f t="shared" si="87"/>
        <v>2.4007936785031134</v>
      </c>
      <c r="U263" s="578">
        <f t="shared" si="88"/>
        <v>25.496428865703066</v>
      </c>
      <c r="V263" s="578">
        <f t="shared" si="89"/>
        <v>25.496428865703066</v>
      </c>
    </row>
    <row r="264" spans="1:22" x14ac:dyDescent="0.25">
      <c r="A264" s="129">
        <f t="shared" si="90"/>
        <v>100045</v>
      </c>
      <c r="B264" s="97" t="s">
        <v>116</v>
      </c>
      <c r="C264" s="247">
        <v>2150</v>
      </c>
      <c r="D264" s="577">
        <v>9.3749231666469882E-3</v>
      </c>
      <c r="E264" s="578">
        <f t="shared" si="77"/>
        <v>86812.509521444328</v>
      </c>
      <c r="F264" s="578">
        <f t="shared" si="78"/>
        <v>40.377911405322941</v>
      </c>
      <c r="G264" s="578">
        <f t="shared" si="81"/>
        <v>121.13373421596881</v>
      </c>
      <c r="H264" s="578">
        <f t="shared" si="79"/>
        <v>260437.52856433296</v>
      </c>
      <c r="I264" s="635">
        <v>0.2</v>
      </c>
      <c r="J264" s="38" t="s">
        <v>228</v>
      </c>
      <c r="K264" s="606">
        <v>9.6000000000000014</v>
      </c>
      <c r="L264" s="606">
        <v>11.100000000000001</v>
      </c>
      <c r="M264" s="613">
        <v>0.21</v>
      </c>
      <c r="N264" s="578">
        <f t="shared" si="82"/>
        <v>86812.509521444328</v>
      </c>
      <c r="O264" s="578">
        <f t="shared" si="83"/>
        <v>40.377911405322941</v>
      </c>
      <c r="P264" s="578">
        <f t="shared" si="84"/>
        <v>121.13373421596881</v>
      </c>
      <c r="Q264" s="578">
        <f t="shared" ref="Q264:Q265" si="99">+P264/48</f>
        <v>2.5236194628326838</v>
      </c>
      <c r="R264" s="658">
        <f t="shared" si="80"/>
        <v>448.19481659908467</v>
      </c>
      <c r="S264" s="578">
        <f t="shared" si="86"/>
        <v>260437.52856433296</v>
      </c>
      <c r="T264" s="578">
        <f t="shared" si="87"/>
        <v>2.5236194628326838</v>
      </c>
      <c r="U264" s="578">
        <f t="shared" si="88"/>
        <v>28.012176037442792</v>
      </c>
      <c r="V264" s="578">
        <f t="shared" si="89"/>
        <v>28.012176037442792</v>
      </c>
    </row>
    <row r="265" spans="1:22" x14ac:dyDescent="0.25">
      <c r="A265" s="129">
        <f t="shared" si="90"/>
        <v>100046</v>
      </c>
      <c r="B265" s="97" t="s">
        <v>118</v>
      </c>
      <c r="C265" s="247">
        <v>2150</v>
      </c>
      <c r="D265" s="577">
        <v>7.5557000599249403E-3</v>
      </c>
      <c r="E265" s="578">
        <f t="shared" si="77"/>
        <v>69966.363641997654</v>
      </c>
      <c r="F265" s="578">
        <f t="shared" si="78"/>
        <v>32.542494717208214</v>
      </c>
      <c r="G265" s="578">
        <f t="shared" si="81"/>
        <v>97.627484151624643</v>
      </c>
      <c r="H265" s="578">
        <f t="shared" si="79"/>
        <v>209899.09092599299</v>
      </c>
      <c r="I265" s="635">
        <v>0.2</v>
      </c>
      <c r="J265" s="38" t="s">
        <v>228</v>
      </c>
      <c r="K265" s="606">
        <v>9.6000000000000014</v>
      </c>
      <c r="L265" s="606">
        <v>11.100000000000001</v>
      </c>
      <c r="M265" s="613">
        <v>0.21</v>
      </c>
      <c r="N265" s="578">
        <f t="shared" si="82"/>
        <v>69966.363641997654</v>
      </c>
      <c r="O265" s="578">
        <f t="shared" si="83"/>
        <v>32.542494717208214</v>
      </c>
      <c r="P265" s="578">
        <f t="shared" si="84"/>
        <v>97.627484151624643</v>
      </c>
      <c r="Q265" s="578">
        <f t="shared" si="99"/>
        <v>2.0339059198255134</v>
      </c>
      <c r="R265" s="658">
        <f t="shared" si="80"/>
        <v>361.22169136101121</v>
      </c>
      <c r="S265" s="578">
        <f t="shared" si="86"/>
        <v>209899.09092599299</v>
      </c>
      <c r="T265" s="578">
        <f t="shared" si="87"/>
        <v>2.0339059198255134</v>
      </c>
      <c r="U265" s="578">
        <f t="shared" si="88"/>
        <v>22.576355710063201</v>
      </c>
      <c r="V265" s="578">
        <f t="shared" si="89"/>
        <v>22.576355710063201</v>
      </c>
    </row>
    <row r="266" spans="1:22" x14ac:dyDescent="0.25">
      <c r="A266" s="129">
        <f t="shared" si="90"/>
        <v>100047</v>
      </c>
      <c r="B266" s="97" t="s">
        <v>119</v>
      </c>
      <c r="C266" s="247">
        <v>4080</v>
      </c>
      <c r="D266" s="577">
        <v>5.4631034090536846E-3</v>
      </c>
      <c r="E266" s="578">
        <f t="shared" si="77"/>
        <v>50588.757719358742</v>
      </c>
      <c r="F266" s="578">
        <f t="shared" si="78"/>
        <v>12.399205323372241</v>
      </c>
      <c r="G266" s="578">
        <f t="shared" si="81"/>
        <v>37.197615970116722</v>
      </c>
      <c r="H266" s="578">
        <f t="shared" si="79"/>
        <v>151766.27315807622</v>
      </c>
      <c r="I266" s="635">
        <v>0.32500000000000001</v>
      </c>
      <c r="J266" s="40" t="s">
        <v>214</v>
      </c>
      <c r="K266" s="606">
        <v>3.9000000000000004</v>
      </c>
      <c r="L266" s="606">
        <v>5.4</v>
      </c>
      <c r="M266" s="613">
        <v>0.21</v>
      </c>
      <c r="N266" s="578">
        <f t="shared" si="82"/>
        <v>50588.757719358742</v>
      </c>
      <c r="O266" s="578">
        <f t="shared" si="83"/>
        <v>12.399205323372241</v>
      </c>
      <c r="P266" s="578">
        <f t="shared" si="84"/>
        <v>37.197615970116722</v>
      </c>
      <c r="Q266" s="578">
        <f>+P266/12</f>
        <v>3.0998013308430603</v>
      </c>
      <c r="R266" s="658">
        <f t="shared" si="80"/>
        <v>66.955708746210107</v>
      </c>
      <c r="S266" s="578">
        <f t="shared" si="86"/>
        <v>151766.27315807622</v>
      </c>
      <c r="T266" s="578">
        <f t="shared" si="87"/>
        <v>3.0998013308430603</v>
      </c>
      <c r="U266" s="578">
        <f t="shared" si="88"/>
        <v>16.738927186552527</v>
      </c>
      <c r="V266" s="578">
        <f t="shared" si="89"/>
        <v>16.738927186552527</v>
      </c>
    </row>
    <row r="267" spans="1:22" ht="15.75" thickBot="1" x14ac:dyDescent="0.3">
      <c r="A267" s="130">
        <f t="shared" si="90"/>
        <v>100048</v>
      </c>
      <c r="B267" s="98" t="s">
        <v>122</v>
      </c>
      <c r="C267" s="249">
        <v>5560</v>
      </c>
      <c r="D267" s="577">
        <v>5.9928601495696839E-3</v>
      </c>
      <c r="E267" s="578">
        <f t="shared" si="77"/>
        <v>55494.345878599415</v>
      </c>
      <c r="F267" s="578">
        <f t="shared" si="78"/>
        <v>9.9809974601797506</v>
      </c>
      <c r="G267" s="578">
        <f t="shared" si="81"/>
        <v>29.942992380539252</v>
      </c>
      <c r="H267" s="578">
        <f t="shared" si="79"/>
        <v>166483.03763579825</v>
      </c>
      <c r="I267" s="635">
        <v>0.45</v>
      </c>
      <c r="J267" s="40" t="s">
        <v>214</v>
      </c>
      <c r="K267" s="606">
        <v>5.4</v>
      </c>
      <c r="L267" s="606">
        <v>6.9</v>
      </c>
      <c r="M267" s="613">
        <v>0.21</v>
      </c>
      <c r="N267" s="578">
        <f t="shared" si="82"/>
        <v>55494.345878599415</v>
      </c>
      <c r="O267" s="578">
        <f t="shared" si="83"/>
        <v>9.9809974601797506</v>
      </c>
      <c r="P267" s="578">
        <f t="shared" si="84"/>
        <v>29.942992380539252</v>
      </c>
      <c r="Q267" s="578">
        <f>+P267/12</f>
        <v>2.4952493650449377</v>
      </c>
      <c r="R267" s="658">
        <f t="shared" si="80"/>
        <v>68.868882475240284</v>
      </c>
      <c r="S267" s="578">
        <f t="shared" si="86"/>
        <v>166483.03763579825</v>
      </c>
      <c r="T267" s="578">
        <f t="shared" si="87"/>
        <v>2.4952493650449377</v>
      </c>
      <c r="U267" s="578">
        <f t="shared" si="88"/>
        <v>17.217220618810071</v>
      </c>
      <c r="V267" s="578">
        <f t="shared" si="89"/>
        <v>17.217220618810071</v>
      </c>
    </row>
    <row r="268" spans="1:22" x14ac:dyDescent="0.25">
      <c r="A268" s="572"/>
      <c r="B268" s="2"/>
      <c r="C268" s="2"/>
      <c r="D268" s="2"/>
      <c r="E268" s="2"/>
      <c r="F268" s="2"/>
      <c r="G268" s="2"/>
      <c r="H268" s="573"/>
      <c r="N268" s="2"/>
      <c r="O268" s="2"/>
      <c r="P268" s="2"/>
      <c r="R268" s="664"/>
      <c r="S268" s="573"/>
      <c r="U268" s="270">
        <f>SUM(U220:U267)</f>
        <v>5355.1487498109836</v>
      </c>
    </row>
    <row r="269" spans="1:22" ht="15.75" thickBot="1" x14ac:dyDescent="0.3">
      <c r="A269" s="574"/>
      <c r="B269" s="575"/>
      <c r="C269" s="575"/>
      <c r="D269" s="575"/>
      <c r="E269" s="575"/>
      <c r="F269" s="575"/>
      <c r="G269" s="575"/>
      <c r="H269" s="576">
        <f>SUM(H220:H268)</f>
        <v>27780230.721344728</v>
      </c>
      <c r="N269" s="575"/>
      <c r="O269" s="575"/>
      <c r="P269" s="575"/>
      <c r="R269" s="665"/>
      <c r="S269" s="576">
        <f>SUM(S220:S268)</f>
        <v>27780230.721344728</v>
      </c>
    </row>
  </sheetData>
  <mergeCells count="10">
    <mergeCell ref="A217:H217"/>
    <mergeCell ref="B218:D218"/>
    <mergeCell ref="A109:P109"/>
    <mergeCell ref="B110:D110"/>
    <mergeCell ref="A1:P1"/>
    <mergeCell ref="B2:D2"/>
    <mergeCell ref="B164:D164"/>
    <mergeCell ref="A163:H163"/>
    <mergeCell ref="A55:P55"/>
    <mergeCell ref="B56:D56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53"/>
  <sheetViews>
    <sheetView workbookViewId="0">
      <selection activeCell="H60" sqref="H60"/>
    </sheetView>
  </sheetViews>
  <sheetFormatPr baseColWidth="10" defaultRowHeight="15" x14ac:dyDescent="0.25"/>
  <cols>
    <col min="5" max="5" width="5.7109375" customWidth="1"/>
    <col min="6" max="6" width="7.42578125" style="1" customWidth="1"/>
    <col min="8" max="8" width="14.42578125" style="1" bestFit="1" customWidth="1"/>
    <col min="10" max="10" width="14.140625" style="1" bestFit="1" customWidth="1"/>
    <col min="12" max="12" width="15.28515625" style="1" bestFit="1" customWidth="1"/>
    <col min="14" max="14" width="14.140625" style="1" bestFit="1" customWidth="1"/>
    <col min="16" max="16" width="14.140625" style="1" bestFit="1" customWidth="1"/>
    <col min="18" max="18" width="14.140625" style="1" bestFit="1" customWidth="1"/>
    <col min="19" max="21" width="11.42578125" style="1"/>
    <col min="22" max="22" width="14.140625" style="1" customWidth="1"/>
    <col min="23" max="23" width="11.42578125" hidden="1" customWidth="1"/>
    <col min="24" max="24" width="11.42578125" customWidth="1"/>
  </cols>
  <sheetData>
    <row r="1" spans="1:24" ht="30.75" thickBot="1" x14ac:dyDescent="0.45">
      <c r="A1" s="845" t="s">
        <v>168</v>
      </c>
      <c r="B1" s="846"/>
      <c r="C1" s="846"/>
      <c r="D1" s="846"/>
      <c r="E1" s="846"/>
      <c r="F1" s="847"/>
      <c r="G1" s="847"/>
      <c r="H1" s="847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8"/>
    </row>
    <row r="2" spans="1:24" ht="75.75" thickBot="1" x14ac:dyDescent="0.3">
      <c r="A2" s="365" t="s">
        <v>31</v>
      </c>
      <c r="B2" s="366" t="s">
        <v>2</v>
      </c>
      <c r="C2" s="366" t="s">
        <v>34</v>
      </c>
      <c r="D2" s="366" t="s">
        <v>137</v>
      </c>
      <c r="E2" s="366" t="s">
        <v>149</v>
      </c>
      <c r="F2" s="366" t="s">
        <v>172</v>
      </c>
      <c r="G2" s="519" t="s">
        <v>169</v>
      </c>
      <c r="H2" s="519" t="s">
        <v>174</v>
      </c>
      <c r="I2" s="520" t="s">
        <v>170</v>
      </c>
      <c r="J2" s="520" t="s">
        <v>173</v>
      </c>
      <c r="K2" s="520" t="s">
        <v>171</v>
      </c>
      <c r="L2" s="520" t="s">
        <v>175</v>
      </c>
      <c r="M2" s="521" t="s">
        <v>165</v>
      </c>
      <c r="N2" s="521" t="s">
        <v>176</v>
      </c>
      <c r="O2" s="521" t="s">
        <v>129</v>
      </c>
      <c r="P2" s="521" t="s">
        <v>177</v>
      </c>
      <c r="Q2" s="522" t="s">
        <v>130</v>
      </c>
      <c r="R2" s="522" t="s">
        <v>178</v>
      </c>
      <c r="S2" s="521" t="s">
        <v>131</v>
      </c>
      <c r="T2" s="521" t="s">
        <v>179</v>
      </c>
      <c r="U2" s="522" t="s">
        <v>153</v>
      </c>
      <c r="V2" s="522" t="s">
        <v>180</v>
      </c>
      <c r="W2" s="425">
        <v>3664696.3285376891</v>
      </c>
    </row>
    <row r="3" spans="1:24" x14ac:dyDescent="0.25">
      <c r="A3" s="372">
        <v>100001</v>
      </c>
      <c r="B3" s="373" t="s">
        <v>15</v>
      </c>
      <c r="C3" s="374" t="s">
        <v>38</v>
      </c>
      <c r="D3" s="375">
        <v>4910</v>
      </c>
      <c r="E3" s="376">
        <f>IF(D3&lt;3500,0.5,0.4)</f>
        <v>0.4</v>
      </c>
      <c r="F3" s="493"/>
      <c r="G3" s="523">
        <v>534</v>
      </c>
      <c r="H3" s="524">
        <f>+G3*D3</f>
        <v>2621940</v>
      </c>
      <c r="I3" s="452">
        <v>508.10532994916633</v>
      </c>
      <c r="J3" s="451">
        <f>+I3*D3</f>
        <v>2494797.1700504068</v>
      </c>
      <c r="K3" s="452">
        <v>508.10532994916633</v>
      </c>
      <c r="L3" s="525">
        <f>+K3*D3</f>
        <v>2494797.1700504068</v>
      </c>
      <c r="M3" s="452">
        <v>442.35052254398005</v>
      </c>
      <c r="N3" s="526">
        <f>+M3*D3</f>
        <v>2171941.0656909421</v>
      </c>
      <c r="O3" s="452">
        <v>683.63262574978739</v>
      </c>
      <c r="P3" s="451">
        <f t="shared" ref="P3:P50" si="0">+O3*D3</f>
        <v>3356636.1924314559</v>
      </c>
      <c r="Q3" s="452">
        <v>250.6652961082554</v>
      </c>
      <c r="R3" s="451">
        <f>+Q3*D3</f>
        <v>1230766.603891534</v>
      </c>
      <c r="S3" s="452">
        <v>152.74949083503054</v>
      </c>
      <c r="T3" s="527">
        <f>+S3*D3</f>
        <v>750000</v>
      </c>
      <c r="U3" s="452">
        <v>445.24256264282025</v>
      </c>
      <c r="V3" s="528">
        <f>+U3*D3</f>
        <v>2186140.9825762473</v>
      </c>
      <c r="W3" s="410" t="e">
        <f>+#REF!/D3</f>
        <v>#REF!</v>
      </c>
    </row>
    <row r="4" spans="1:24" hidden="1" x14ac:dyDescent="0.25">
      <c r="A4" s="377">
        <f>+A3+1</f>
        <v>100002</v>
      </c>
      <c r="B4" s="378" t="s">
        <v>16</v>
      </c>
      <c r="C4" s="379" t="s">
        <v>38</v>
      </c>
      <c r="D4" s="380">
        <v>4910</v>
      </c>
      <c r="E4" s="376">
        <f t="shared" ref="E4:E50" si="1">IF(D4&lt;3500,0.5,0.4)</f>
        <v>0.4</v>
      </c>
      <c r="F4" s="494"/>
      <c r="G4" s="529">
        <v>534</v>
      </c>
      <c r="H4" s="512">
        <f t="shared" ref="H4:H8" si="2">+G4*D4</f>
        <v>2621940</v>
      </c>
      <c r="I4" s="426">
        <v>508.10532994916633</v>
      </c>
      <c r="J4" s="438">
        <f t="shared" ref="J4:J50" si="3">+I4*D4</f>
        <v>2494797.1700504068</v>
      </c>
      <c r="K4" s="426">
        <v>508.10532994916633</v>
      </c>
      <c r="L4" s="472">
        <f t="shared" ref="L4:L50" si="4">+K4*D4</f>
        <v>2494797.1700504068</v>
      </c>
      <c r="M4" s="426">
        <v>442.35052254398005</v>
      </c>
      <c r="N4" s="479">
        <f t="shared" ref="N4:N50" si="5">+M4*D4</f>
        <v>2171941.0656909421</v>
      </c>
      <c r="O4" s="426">
        <v>683.63262574978739</v>
      </c>
      <c r="P4" s="438">
        <f t="shared" si="0"/>
        <v>3356636.1924314559</v>
      </c>
      <c r="Q4" s="426">
        <v>250.6652961082554</v>
      </c>
      <c r="R4" s="438">
        <f t="shared" ref="R4:R50" si="6">+Q4*D4</f>
        <v>1230766.603891534</v>
      </c>
      <c r="S4" s="426">
        <v>152.74949083503054</v>
      </c>
      <c r="T4" s="486">
        <f t="shared" ref="T4:T50" si="7">+S4*D4</f>
        <v>750000</v>
      </c>
      <c r="U4" s="426">
        <v>445.24256264282025</v>
      </c>
      <c r="V4" s="530">
        <f t="shared" ref="V4:V50" si="8">+U4*D4</f>
        <v>2186140.9825762473</v>
      </c>
      <c r="W4" s="410" t="e">
        <f>+#REF!/D4</f>
        <v>#REF!</v>
      </c>
    </row>
    <row r="5" spans="1:24" hidden="1" x14ac:dyDescent="0.25">
      <c r="A5" s="377">
        <f t="shared" ref="A5:A50" si="9">+A4+1</f>
        <v>100003</v>
      </c>
      <c r="B5" s="378" t="s">
        <v>17</v>
      </c>
      <c r="C5" s="379" t="s">
        <v>38</v>
      </c>
      <c r="D5" s="380">
        <v>6000</v>
      </c>
      <c r="E5" s="376">
        <f t="shared" si="1"/>
        <v>0.4</v>
      </c>
      <c r="F5" s="494"/>
      <c r="G5" s="529">
        <v>437</v>
      </c>
      <c r="H5" s="512">
        <f t="shared" si="2"/>
        <v>2622000</v>
      </c>
      <c r="I5" s="426">
        <v>415.79952834173446</v>
      </c>
      <c r="J5" s="438">
        <f t="shared" si="3"/>
        <v>2494797.1700504068</v>
      </c>
      <c r="K5" s="426">
        <v>415.79952834173446</v>
      </c>
      <c r="L5" s="472">
        <f t="shared" si="4"/>
        <v>2494797.1700504068</v>
      </c>
      <c r="M5" s="426">
        <v>361.99017761515699</v>
      </c>
      <c r="N5" s="479">
        <f t="shared" si="5"/>
        <v>2171941.0656909421</v>
      </c>
      <c r="O5" s="426">
        <v>559.43936540524271</v>
      </c>
      <c r="P5" s="438">
        <f t="shared" si="0"/>
        <v>3356636.1924314564</v>
      </c>
      <c r="Q5" s="426">
        <v>205.12776731525568</v>
      </c>
      <c r="R5" s="438">
        <f t="shared" si="6"/>
        <v>1230766.603891534</v>
      </c>
      <c r="S5" s="426">
        <v>125</v>
      </c>
      <c r="T5" s="486">
        <f t="shared" si="7"/>
        <v>750000</v>
      </c>
      <c r="U5" s="426">
        <v>364.35683042937455</v>
      </c>
      <c r="V5" s="530">
        <f t="shared" si="8"/>
        <v>2186140.9825762473</v>
      </c>
      <c r="W5" s="410" t="e">
        <f>+#REF!/D5</f>
        <v>#REF!</v>
      </c>
    </row>
    <row r="6" spans="1:24" hidden="1" x14ac:dyDescent="0.25">
      <c r="A6" s="377">
        <f t="shared" si="9"/>
        <v>100004</v>
      </c>
      <c r="B6" s="378" t="s">
        <v>18</v>
      </c>
      <c r="C6" s="379" t="s">
        <v>38</v>
      </c>
      <c r="D6" s="380">
        <v>5130</v>
      </c>
      <c r="E6" s="376">
        <f t="shared" si="1"/>
        <v>0.4</v>
      </c>
      <c r="F6" s="494"/>
      <c r="G6" s="529">
        <v>511</v>
      </c>
      <c r="H6" s="512">
        <f t="shared" si="2"/>
        <v>2621430</v>
      </c>
      <c r="I6" s="426">
        <v>486.31523782659002</v>
      </c>
      <c r="J6" s="438">
        <f t="shared" si="3"/>
        <v>2494797.1700504068</v>
      </c>
      <c r="K6" s="426">
        <v>486.31523782659002</v>
      </c>
      <c r="L6" s="472">
        <f t="shared" si="4"/>
        <v>2494797.1700504068</v>
      </c>
      <c r="M6" s="426">
        <v>423.3803246960901</v>
      </c>
      <c r="N6" s="479">
        <f t="shared" si="5"/>
        <v>2171941.0656909421</v>
      </c>
      <c r="O6" s="426">
        <v>654.31504725759373</v>
      </c>
      <c r="P6" s="438">
        <f t="shared" si="0"/>
        <v>3356636.1924314559</v>
      </c>
      <c r="Q6" s="426">
        <v>239.91551732778441</v>
      </c>
      <c r="R6" s="438">
        <f t="shared" si="6"/>
        <v>1230766.603891534</v>
      </c>
      <c r="S6" s="426">
        <v>146.19883040935673</v>
      </c>
      <c r="T6" s="486">
        <f t="shared" si="7"/>
        <v>750000</v>
      </c>
      <c r="U6" s="426">
        <v>426.14833968347898</v>
      </c>
      <c r="V6" s="530">
        <f t="shared" si="8"/>
        <v>2186140.9825762473</v>
      </c>
      <c r="W6" s="410" t="e">
        <f>+#REF!/D6</f>
        <v>#REF!</v>
      </c>
    </row>
    <row r="7" spans="1:24" hidden="1" x14ac:dyDescent="0.25">
      <c r="A7" s="377">
        <f t="shared" si="9"/>
        <v>100005</v>
      </c>
      <c r="B7" s="378" t="s">
        <v>19</v>
      </c>
      <c r="C7" s="379" t="s">
        <v>38</v>
      </c>
      <c r="D7" s="380">
        <v>8550</v>
      </c>
      <c r="E7" s="376">
        <f t="shared" si="1"/>
        <v>0.4</v>
      </c>
      <c r="F7" s="494"/>
      <c r="G7" s="529">
        <v>307</v>
      </c>
      <c r="H7" s="512">
        <f t="shared" si="2"/>
        <v>2624850</v>
      </c>
      <c r="I7" s="426">
        <v>291.78914269595401</v>
      </c>
      <c r="J7" s="438">
        <f t="shared" si="3"/>
        <v>2494797.1700504068</v>
      </c>
      <c r="K7" s="426">
        <v>291.78914269595401</v>
      </c>
      <c r="L7" s="472">
        <f t="shared" si="4"/>
        <v>2494797.1700504068</v>
      </c>
      <c r="M7" s="426">
        <v>254.02819481765405</v>
      </c>
      <c r="N7" s="479">
        <f t="shared" si="5"/>
        <v>2171941.0656909421</v>
      </c>
      <c r="O7" s="426">
        <v>392.58902835455626</v>
      </c>
      <c r="P7" s="438">
        <f t="shared" si="0"/>
        <v>3356636.1924314559</v>
      </c>
      <c r="Q7" s="426">
        <v>143.94931039667065</v>
      </c>
      <c r="R7" s="438">
        <f t="shared" si="6"/>
        <v>1230766.603891534</v>
      </c>
      <c r="S7" s="426">
        <v>87.719298245614041</v>
      </c>
      <c r="T7" s="486">
        <f t="shared" si="7"/>
        <v>750000</v>
      </c>
      <c r="U7" s="426">
        <v>255.6890038100874</v>
      </c>
      <c r="V7" s="530">
        <f t="shared" si="8"/>
        <v>2186140.9825762473</v>
      </c>
      <c r="W7" s="410" t="e">
        <f>+#REF!/D7</f>
        <v>#REF!</v>
      </c>
    </row>
    <row r="8" spans="1:24" ht="15.75" hidden="1" thickBot="1" x14ac:dyDescent="0.3">
      <c r="A8" s="377">
        <f>+A7+1</f>
        <v>100006</v>
      </c>
      <c r="B8" s="378" t="s">
        <v>42</v>
      </c>
      <c r="C8" s="379" t="s">
        <v>38</v>
      </c>
      <c r="D8" s="380">
        <v>10100</v>
      </c>
      <c r="E8" s="376">
        <f t="shared" si="1"/>
        <v>0.4</v>
      </c>
      <c r="F8" s="495">
        <f>COUNT(E3:E8)</f>
        <v>6</v>
      </c>
      <c r="G8" s="529">
        <v>260</v>
      </c>
      <c r="H8" s="512">
        <f t="shared" si="2"/>
        <v>2626000</v>
      </c>
      <c r="I8" s="426">
        <v>247.00962079706997</v>
      </c>
      <c r="J8" s="438">
        <f t="shared" si="3"/>
        <v>2494797.1700504068</v>
      </c>
      <c r="K8" s="426">
        <v>247.00962079706997</v>
      </c>
      <c r="L8" s="472">
        <f t="shared" si="4"/>
        <v>2494797.1700504068</v>
      </c>
      <c r="M8" s="426">
        <v>215.04366987039032</v>
      </c>
      <c r="N8" s="479">
        <f t="shared" si="5"/>
        <v>2171941.0656909421</v>
      </c>
      <c r="O8" s="426">
        <v>332.34021707242135</v>
      </c>
      <c r="P8" s="438">
        <f t="shared" si="0"/>
        <v>3356636.1924314555</v>
      </c>
      <c r="Q8" s="426">
        <v>121.85807959322119</v>
      </c>
      <c r="R8" s="438">
        <f t="shared" si="6"/>
        <v>1230766.603891534</v>
      </c>
      <c r="S8" s="426">
        <v>74.257425742574256</v>
      </c>
      <c r="T8" s="486">
        <f t="shared" si="7"/>
        <v>750000</v>
      </c>
      <c r="U8" s="426">
        <v>216.44960223527201</v>
      </c>
      <c r="V8" s="530">
        <f t="shared" si="8"/>
        <v>2186140.9825762473</v>
      </c>
      <c r="W8" s="410" t="e">
        <f>+#REF!/D8</f>
        <v>#REF!</v>
      </c>
    </row>
    <row r="9" spans="1:24" ht="15.75" hidden="1" x14ac:dyDescent="0.25">
      <c r="A9" s="381">
        <f t="shared" si="9"/>
        <v>100007</v>
      </c>
      <c r="B9" s="382" t="s">
        <v>43</v>
      </c>
      <c r="C9" s="383" t="s">
        <v>46</v>
      </c>
      <c r="D9" s="384">
        <v>2340</v>
      </c>
      <c r="E9" s="385">
        <f t="shared" si="1"/>
        <v>0.5</v>
      </c>
      <c r="F9" s="496"/>
      <c r="G9" s="531">
        <v>293.67799040312025</v>
      </c>
      <c r="H9" s="513">
        <f>+G9*D9</f>
        <v>687206.49754330143</v>
      </c>
      <c r="I9" s="432">
        <v>279.39095303215771</v>
      </c>
      <c r="J9" s="439">
        <f t="shared" si="3"/>
        <v>653774.830095249</v>
      </c>
      <c r="K9" s="432">
        <v>279.39095303215771</v>
      </c>
      <c r="L9" s="473">
        <f t="shared" si="4"/>
        <v>653774.830095249</v>
      </c>
      <c r="M9" s="427">
        <v>243.23447675740786</v>
      </c>
      <c r="N9" s="480">
        <f t="shared" si="5"/>
        <v>569168.67561233439</v>
      </c>
      <c r="O9" s="427">
        <v>375.90782771599396</v>
      </c>
      <c r="P9" s="439">
        <f t="shared" si="0"/>
        <v>879624.31685542583</v>
      </c>
      <c r="Q9" s="432">
        <v>195.76369276376545</v>
      </c>
      <c r="R9" s="439">
        <f t="shared" si="6"/>
        <v>458087.04106721113</v>
      </c>
      <c r="S9" s="432">
        <v>240.38461538461539</v>
      </c>
      <c r="T9" s="487">
        <f t="shared" si="7"/>
        <v>562500</v>
      </c>
      <c r="U9" s="432">
        <v>261.49567924575729</v>
      </c>
      <c r="V9" s="532">
        <f t="shared" si="8"/>
        <v>611899.88943507208</v>
      </c>
      <c r="W9" s="410" t="e">
        <f>+#REF!/D9</f>
        <v>#REF!</v>
      </c>
    </row>
    <row r="10" spans="1:24" ht="15.75" hidden="1" x14ac:dyDescent="0.25">
      <c r="A10" s="381">
        <f t="shared" si="9"/>
        <v>100008</v>
      </c>
      <c r="B10" s="382" t="s">
        <v>47</v>
      </c>
      <c r="C10" s="383" t="s">
        <v>46</v>
      </c>
      <c r="D10" s="384">
        <v>2340</v>
      </c>
      <c r="E10" s="385">
        <f t="shared" si="1"/>
        <v>0.5</v>
      </c>
      <c r="F10" s="497"/>
      <c r="G10" s="531">
        <v>293.67799040312025</v>
      </c>
      <c r="H10" s="513">
        <f t="shared" ref="H10:H16" si="10">+G10*D10</f>
        <v>687206.49754330143</v>
      </c>
      <c r="I10" s="432">
        <v>279.39095303215771</v>
      </c>
      <c r="J10" s="439">
        <f t="shared" si="3"/>
        <v>653774.830095249</v>
      </c>
      <c r="K10" s="432">
        <v>279.39095303215771</v>
      </c>
      <c r="L10" s="473">
        <f t="shared" si="4"/>
        <v>653774.830095249</v>
      </c>
      <c r="M10" s="427">
        <v>243.23447675740786</v>
      </c>
      <c r="N10" s="480">
        <f t="shared" si="5"/>
        <v>569168.67561233439</v>
      </c>
      <c r="O10" s="427">
        <v>375.90782771599396</v>
      </c>
      <c r="P10" s="439">
        <f t="shared" si="0"/>
        <v>879624.31685542583</v>
      </c>
      <c r="Q10" s="432">
        <v>195.76369276376545</v>
      </c>
      <c r="R10" s="439">
        <f t="shared" si="6"/>
        <v>458087.04106721113</v>
      </c>
      <c r="S10" s="432">
        <v>240.38461538461539</v>
      </c>
      <c r="T10" s="487">
        <f t="shared" si="7"/>
        <v>562500</v>
      </c>
      <c r="U10" s="432">
        <v>261.49567924575729</v>
      </c>
      <c r="V10" s="532">
        <f t="shared" si="8"/>
        <v>611899.88943507208</v>
      </c>
      <c r="W10" s="410" t="e">
        <f>+#REF!/D10</f>
        <v>#REF!</v>
      </c>
    </row>
    <row r="11" spans="1:24" ht="15.75" hidden="1" x14ac:dyDescent="0.25">
      <c r="A11" s="381">
        <f t="shared" si="9"/>
        <v>100009</v>
      </c>
      <c r="B11" s="382" t="s">
        <v>50</v>
      </c>
      <c r="C11" s="383" t="s">
        <v>46</v>
      </c>
      <c r="D11" s="384">
        <v>2240</v>
      </c>
      <c r="E11" s="385">
        <f t="shared" si="1"/>
        <v>0.5</v>
      </c>
      <c r="F11" s="497"/>
      <c r="G11" s="531">
        <v>306.78861497468813</v>
      </c>
      <c r="H11" s="513">
        <f t="shared" si="10"/>
        <v>687206.49754330143</v>
      </c>
      <c r="I11" s="432">
        <v>291.86376343537904</v>
      </c>
      <c r="J11" s="439">
        <f t="shared" si="3"/>
        <v>653774.830095249</v>
      </c>
      <c r="K11" s="432">
        <v>291.86376343537904</v>
      </c>
      <c r="L11" s="473">
        <f t="shared" si="4"/>
        <v>653774.830095249</v>
      </c>
      <c r="M11" s="427">
        <v>254.09315875550644</v>
      </c>
      <c r="N11" s="480">
        <f t="shared" si="5"/>
        <v>569168.67561233439</v>
      </c>
      <c r="O11" s="427">
        <v>392.6894271676008</v>
      </c>
      <c r="P11" s="439">
        <f t="shared" si="0"/>
        <v>879624.31685542583</v>
      </c>
      <c r="Q11" s="432">
        <v>204.50314333357639</v>
      </c>
      <c r="R11" s="439">
        <f t="shared" si="6"/>
        <v>458087.04106721113</v>
      </c>
      <c r="S11" s="432">
        <v>251.11607142857142</v>
      </c>
      <c r="T11" s="487">
        <f t="shared" si="7"/>
        <v>562500</v>
      </c>
      <c r="U11" s="432">
        <v>273.16959349780001</v>
      </c>
      <c r="V11" s="532">
        <f t="shared" si="8"/>
        <v>611899.88943507196</v>
      </c>
      <c r="W11" s="410" t="e">
        <f>+#REF!/D11</f>
        <v>#REF!</v>
      </c>
    </row>
    <row r="12" spans="1:24" ht="15.75" hidden="1" x14ac:dyDescent="0.25">
      <c r="A12" s="381">
        <f t="shared" si="9"/>
        <v>100010</v>
      </c>
      <c r="B12" s="382" t="s">
        <v>52</v>
      </c>
      <c r="C12" s="383" t="s">
        <v>46</v>
      </c>
      <c r="D12" s="384">
        <v>2300</v>
      </c>
      <c r="E12" s="385">
        <f t="shared" si="1"/>
        <v>0.5</v>
      </c>
      <c r="F12" s="497"/>
      <c r="G12" s="531">
        <v>298.78543371447887</v>
      </c>
      <c r="H12" s="513">
        <f t="shared" si="10"/>
        <v>687206.49754330143</v>
      </c>
      <c r="I12" s="432">
        <v>284.24992612836911</v>
      </c>
      <c r="J12" s="439">
        <f t="shared" si="3"/>
        <v>653774.830095249</v>
      </c>
      <c r="K12" s="432">
        <v>284.24992612836911</v>
      </c>
      <c r="L12" s="473">
        <f t="shared" si="4"/>
        <v>653774.830095249</v>
      </c>
      <c r="M12" s="427">
        <v>247.46464157058017</v>
      </c>
      <c r="N12" s="480">
        <f t="shared" si="5"/>
        <v>569168.67561233439</v>
      </c>
      <c r="O12" s="427">
        <v>382.44535515453299</v>
      </c>
      <c r="P12" s="439">
        <f t="shared" si="0"/>
        <v>879624.31685542583</v>
      </c>
      <c r="Q12" s="432">
        <v>199.1682787248744</v>
      </c>
      <c r="R12" s="439">
        <f t="shared" si="6"/>
        <v>458087.04106721113</v>
      </c>
      <c r="S12" s="432">
        <v>244.56521739130434</v>
      </c>
      <c r="T12" s="487">
        <f t="shared" si="7"/>
        <v>562500</v>
      </c>
      <c r="U12" s="432">
        <v>266.04343018916177</v>
      </c>
      <c r="V12" s="532">
        <f t="shared" si="8"/>
        <v>611899.88943507208</v>
      </c>
      <c r="W12" s="410" t="e">
        <f>+#REF!/D12</f>
        <v>#REF!</v>
      </c>
    </row>
    <row r="13" spans="1:24" ht="15.75" hidden="1" x14ac:dyDescent="0.25">
      <c r="A13" s="381">
        <f t="shared" si="9"/>
        <v>100011</v>
      </c>
      <c r="B13" s="382" t="s">
        <v>53</v>
      </c>
      <c r="C13" s="383" t="s">
        <v>46</v>
      </c>
      <c r="D13" s="384">
        <v>1260</v>
      </c>
      <c r="E13" s="385">
        <f t="shared" si="1"/>
        <v>0.5</v>
      </c>
      <c r="F13" s="497"/>
      <c r="G13" s="531">
        <v>545.40198217722332</v>
      </c>
      <c r="H13" s="513">
        <f t="shared" si="10"/>
        <v>687206.49754330143</v>
      </c>
      <c r="I13" s="432">
        <v>518.86891277400719</v>
      </c>
      <c r="J13" s="439">
        <f t="shared" si="3"/>
        <v>653774.830095249</v>
      </c>
      <c r="K13" s="432">
        <v>518.86891277400719</v>
      </c>
      <c r="L13" s="473">
        <f t="shared" si="4"/>
        <v>653774.830095249</v>
      </c>
      <c r="M13" s="427">
        <v>451.72117112090029</v>
      </c>
      <c r="N13" s="480">
        <f t="shared" si="5"/>
        <v>569168.67561233439</v>
      </c>
      <c r="O13" s="427">
        <v>698.11453718684595</v>
      </c>
      <c r="P13" s="439">
        <f t="shared" si="0"/>
        <v>879624.31685542595</v>
      </c>
      <c r="Q13" s="432">
        <v>363.56114370413582</v>
      </c>
      <c r="R13" s="439">
        <f t="shared" si="6"/>
        <v>458087.04106721113</v>
      </c>
      <c r="S13" s="432">
        <v>446.42857142857144</v>
      </c>
      <c r="T13" s="487">
        <f t="shared" si="7"/>
        <v>562500</v>
      </c>
      <c r="U13" s="432">
        <v>485.63483288497787</v>
      </c>
      <c r="V13" s="532">
        <f t="shared" si="8"/>
        <v>611899.88943507208</v>
      </c>
      <c r="W13" s="410" t="e">
        <f>+#REF!/D13</f>
        <v>#REF!</v>
      </c>
    </row>
    <row r="14" spans="1:24" ht="15.75" hidden="1" x14ac:dyDescent="0.25">
      <c r="A14" s="381">
        <f t="shared" si="9"/>
        <v>100012</v>
      </c>
      <c r="B14" s="382" t="s">
        <v>55</v>
      </c>
      <c r="C14" s="383" t="s">
        <v>46</v>
      </c>
      <c r="D14" s="384">
        <v>1260</v>
      </c>
      <c r="E14" s="385">
        <f t="shared" si="1"/>
        <v>0.5</v>
      </c>
      <c r="F14" s="497"/>
      <c r="G14" s="531">
        <v>545.40198217722332</v>
      </c>
      <c r="H14" s="513">
        <f t="shared" si="10"/>
        <v>687206.49754330143</v>
      </c>
      <c r="I14" s="432">
        <v>518.86891277400719</v>
      </c>
      <c r="J14" s="439">
        <f t="shared" si="3"/>
        <v>653774.830095249</v>
      </c>
      <c r="K14" s="432">
        <v>518.86891277400719</v>
      </c>
      <c r="L14" s="473">
        <f t="shared" si="4"/>
        <v>653774.830095249</v>
      </c>
      <c r="M14" s="427">
        <v>451.72117112090029</v>
      </c>
      <c r="N14" s="480">
        <f t="shared" si="5"/>
        <v>569168.67561233439</v>
      </c>
      <c r="O14" s="427">
        <v>698.11453718684595</v>
      </c>
      <c r="P14" s="439">
        <f t="shared" si="0"/>
        <v>879624.31685542595</v>
      </c>
      <c r="Q14" s="432">
        <v>363.56114370413582</v>
      </c>
      <c r="R14" s="439">
        <f t="shared" si="6"/>
        <v>458087.04106721113</v>
      </c>
      <c r="S14" s="432">
        <v>446.42857142857144</v>
      </c>
      <c r="T14" s="487">
        <f t="shared" si="7"/>
        <v>562500</v>
      </c>
      <c r="U14" s="432">
        <v>485.63483288497787</v>
      </c>
      <c r="V14" s="532">
        <f t="shared" si="8"/>
        <v>611899.88943507208</v>
      </c>
      <c r="W14" s="410" t="e">
        <f>+#REF!/D14</f>
        <v>#REF!</v>
      </c>
    </row>
    <row r="15" spans="1:24" ht="15.75" hidden="1" x14ac:dyDescent="0.25">
      <c r="A15" s="381">
        <f t="shared" si="9"/>
        <v>100013</v>
      </c>
      <c r="B15" s="382" t="s">
        <v>57</v>
      </c>
      <c r="C15" s="383" t="s">
        <v>46</v>
      </c>
      <c r="D15" s="384">
        <v>2710</v>
      </c>
      <c r="E15" s="385">
        <f t="shared" si="1"/>
        <v>0.5</v>
      </c>
      <c r="F15" s="497"/>
      <c r="G15" s="531">
        <v>253.58173341081235</v>
      </c>
      <c r="H15" s="513">
        <f t="shared" si="10"/>
        <v>687206.49754330143</v>
      </c>
      <c r="I15" s="432">
        <v>241.24532475839447</v>
      </c>
      <c r="J15" s="439">
        <f t="shared" si="3"/>
        <v>653774.830095249</v>
      </c>
      <c r="K15" s="432">
        <v>241.24532475839447</v>
      </c>
      <c r="L15" s="473">
        <f t="shared" si="4"/>
        <v>653774.830095249</v>
      </c>
      <c r="M15" s="427">
        <v>210.02534155436695</v>
      </c>
      <c r="N15" s="480">
        <f t="shared" si="5"/>
        <v>569168.67561233439</v>
      </c>
      <c r="O15" s="427">
        <v>324.58461876583976</v>
      </c>
      <c r="P15" s="439">
        <f t="shared" si="0"/>
        <v>879624.31685542571</v>
      </c>
      <c r="Q15" s="432">
        <v>169.03580851188602</v>
      </c>
      <c r="R15" s="439">
        <f t="shared" si="6"/>
        <v>458087.04106721113</v>
      </c>
      <c r="S15" s="432">
        <v>207.56457564575646</v>
      </c>
      <c r="T15" s="487">
        <f t="shared" si="7"/>
        <v>562500</v>
      </c>
      <c r="U15" s="432">
        <v>225.79331713471294</v>
      </c>
      <c r="V15" s="532">
        <f t="shared" si="8"/>
        <v>611899.88943507208</v>
      </c>
      <c r="W15" s="410" t="e">
        <f>+#REF!/D15</f>
        <v>#REF!</v>
      </c>
    </row>
    <row r="16" spans="1:24" ht="16.5" hidden="1" thickBot="1" x14ac:dyDescent="0.3">
      <c r="A16" s="381">
        <f t="shared" si="9"/>
        <v>100014</v>
      </c>
      <c r="B16" s="382" t="s">
        <v>59</v>
      </c>
      <c r="C16" s="383" t="s">
        <v>46</v>
      </c>
      <c r="D16" s="384">
        <v>1480</v>
      </c>
      <c r="E16" s="385">
        <f t="shared" si="1"/>
        <v>0.5</v>
      </c>
      <c r="F16" s="498">
        <f>COUNT(E9:E16)</f>
        <v>8</v>
      </c>
      <c r="G16" s="531">
        <v>464.32871455628475</v>
      </c>
      <c r="H16" s="513">
        <f t="shared" si="10"/>
        <v>687206.49754330143</v>
      </c>
      <c r="I16" s="432">
        <v>441.73975006435745</v>
      </c>
      <c r="J16" s="439">
        <f t="shared" si="3"/>
        <v>653774.830095249</v>
      </c>
      <c r="K16" s="432">
        <v>441.73975006435745</v>
      </c>
      <c r="L16" s="473">
        <f t="shared" si="4"/>
        <v>653774.830095249</v>
      </c>
      <c r="M16" s="427">
        <v>384.57342946779352</v>
      </c>
      <c r="N16" s="480">
        <f t="shared" si="5"/>
        <v>569168.67561233439</v>
      </c>
      <c r="O16" s="427">
        <v>594.34075463204454</v>
      </c>
      <c r="P16" s="439">
        <f t="shared" si="0"/>
        <v>879624.31685542595</v>
      </c>
      <c r="Q16" s="432">
        <v>309.51827099135886</v>
      </c>
      <c r="R16" s="439">
        <f t="shared" si="6"/>
        <v>458087.04106721113</v>
      </c>
      <c r="S16" s="432">
        <v>380.06756756756755</v>
      </c>
      <c r="T16" s="487">
        <f t="shared" si="7"/>
        <v>562500</v>
      </c>
      <c r="U16" s="432">
        <v>413.44587123991357</v>
      </c>
      <c r="V16" s="532">
        <f t="shared" si="8"/>
        <v>611899.88943507208</v>
      </c>
      <c r="W16" s="410" t="e">
        <f>+#REF!/D16</f>
        <v>#REF!</v>
      </c>
    </row>
    <row r="17" spans="1:23" ht="15.75" hidden="1" x14ac:dyDescent="0.25">
      <c r="A17" s="388">
        <f t="shared" si="9"/>
        <v>100015</v>
      </c>
      <c r="B17" s="389" t="s">
        <v>62</v>
      </c>
      <c r="C17" s="390" t="s">
        <v>63</v>
      </c>
      <c r="D17" s="391">
        <v>2360</v>
      </c>
      <c r="E17" s="392">
        <f t="shared" si="1"/>
        <v>0.5</v>
      </c>
      <c r="F17" s="499"/>
      <c r="G17" s="533">
        <v>464.60018618387267</v>
      </c>
      <c r="H17" s="514">
        <f>+G17*D17</f>
        <v>1096456.4393939395</v>
      </c>
      <c r="I17" s="433">
        <v>441.99801496411669</v>
      </c>
      <c r="J17" s="440">
        <f t="shared" si="3"/>
        <v>1043115.3153153154</v>
      </c>
      <c r="K17" s="433">
        <v>441.99801496411669</v>
      </c>
      <c r="L17" s="474">
        <f t="shared" si="4"/>
        <v>1043115.3153153154</v>
      </c>
      <c r="M17" s="428">
        <v>384.79827185111333</v>
      </c>
      <c r="N17" s="481">
        <f t="shared" si="5"/>
        <v>908123.92156862747</v>
      </c>
      <c r="O17" s="428">
        <v>594.68823831535701</v>
      </c>
      <c r="P17" s="440">
        <f t="shared" si="0"/>
        <v>1403464.2424242427</v>
      </c>
      <c r="Q17" s="433">
        <v>235.08457627118642</v>
      </c>
      <c r="R17" s="440">
        <f t="shared" si="6"/>
        <v>554799.6</v>
      </c>
      <c r="S17" s="433">
        <v>317.79661016949154</v>
      </c>
      <c r="T17" s="488">
        <f t="shared" si="7"/>
        <v>750000</v>
      </c>
      <c r="U17" s="433">
        <v>470.50558198278185</v>
      </c>
      <c r="V17" s="534">
        <f t="shared" si="8"/>
        <v>1110393.1734793652</v>
      </c>
      <c r="W17" s="410" t="e">
        <f>+#REF!/D17</f>
        <v>#REF!</v>
      </c>
    </row>
    <row r="18" spans="1:23" ht="33.75" hidden="1" x14ac:dyDescent="0.25">
      <c r="A18" s="388">
        <f t="shared" si="9"/>
        <v>100016</v>
      </c>
      <c r="B18" s="389" t="s">
        <v>65</v>
      </c>
      <c r="C18" s="390" t="s">
        <v>63</v>
      </c>
      <c r="D18" s="391">
        <v>5000</v>
      </c>
      <c r="E18" s="392">
        <f t="shared" si="1"/>
        <v>0.4</v>
      </c>
      <c r="F18" s="500"/>
      <c r="G18" s="533">
        <v>219.2912878787879</v>
      </c>
      <c r="H18" s="514">
        <f t="shared" ref="H18:H22" si="11">+G18*D18</f>
        <v>1096456.4393939395</v>
      </c>
      <c r="I18" s="433">
        <v>208.62306306306309</v>
      </c>
      <c r="J18" s="440">
        <f t="shared" si="3"/>
        <v>1043115.3153153154</v>
      </c>
      <c r="K18" s="433">
        <v>208.62306306306309</v>
      </c>
      <c r="L18" s="474">
        <f t="shared" si="4"/>
        <v>1043115.3153153154</v>
      </c>
      <c r="M18" s="428">
        <v>181.62478431372548</v>
      </c>
      <c r="N18" s="481">
        <f t="shared" si="5"/>
        <v>908123.92156862747</v>
      </c>
      <c r="O18" s="428">
        <v>280.69284848484847</v>
      </c>
      <c r="P18" s="440">
        <f t="shared" si="0"/>
        <v>1403464.2424242424</v>
      </c>
      <c r="Q18" s="433">
        <v>110.95992</v>
      </c>
      <c r="R18" s="440">
        <f t="shared" si="6"/>
        <v>554799.6</v>
      </c>
      <c r="S18" s="433">
        <v>150</v>
      </c>
      <c r="T18" s="488">
        <f t="shared" si="7"/>
        <v>750000</v>
      </c>
      <c r="U18" s="433">
        <v>222.07863469587303</v>
      </c>
      <c r="V18" s="534">
        <f t="shared" si="8"/>
        <v>1110393.1734793652</v>
      </c>
      <c r="W18" s="410" t="e">
        <f>+#REF!/D18</f>
        <v>#REF!</v>
      </c>
    </row>
    <row r="19" spans="1:23" ht="22.5" hidden="1" x14ac:dyDescent="0.25">
      <c r="A19" s="388">
        <f t="shared" si="9"/>
        <v>100017</v>
      </c>
      <c r="B19" s="389" t="s">
        <v>66</v>
      </c>
      <c r="C19" s="390" t="s">
        <v>63</v>
      </c>
      <c r="D19" s="391">
        <v>3590</v>
      </c>
      <c r="E19" s="392">
        <f t="shared" si="1"/>
        <v>0.4</v>
      </c>
      <c r="F19" s="500"/>
      <c r="G19" s="533">
        <v>305.41962100109731</v>
      </c>
      <c r="H19" s="514">
        <f t="shared" si="11"/>
        <v>1096456.4393939395</v>
      </c>
      <c r="I19" s="433">
        <v>290.56136916861152</v>
      </c>
      <c r="J19" s="440">
        <f t="shared" si="3"/>
        <v>1043115.3153153154</v>
      </c>
      <c r="K19" s="433">
        <v>290.56136916861152</v>
      </c>
      <c r="L19" s="474">
        <f t="shared" si="4"/>
        <v>1043115.3153153154</v>
      </c>
      <c r="M19" s="428">
        <v>252.95930962914414</v>
      </c>
      <c r="N19" s="481">
        <f t="shared" si="5"/>
        <v>908123.92156862747</v>
      </c>
      <c r="O19" s="428">
        <v>390.93711488140457</v>
      </c>
      <c r="P19" s="440">
        <f t="shared" si="0"/>
        <v>1403464.2424242424</v>
      </c>
      <c r="Q19" s="433">
        <v>154.54027855153203</v>
      </c>
      <c r="R19" s="440">
        <f t="shared" si="6"/>
        <v>554799.6</v>
      </c>
      <c r="S19" s="433">
        <v>208.91364902506965</v>
      </c>
      <c r="T19" s="488">
        <f t="shared" si="7"/>
        <v>750000</v>
      </c>
      <c r="U19" s="433">
        <v>309.30171963213513</v>
      </c>
      <c r="V19" s="534">
        <f t="shared" si="8"/>
        <v>1110393.1734793652</v>
      </c>
      <c r="W19" s="410" t="e">
        <f>+#REF!/D19</f>
        <v>#REF!</v>
      </c>
    </row>
    <row r="20" spans="1:23" ht="22.5" hidden="1" x14ac:dyDescent="0.25">
      <c r="A20" s="388">
        <f t="shared" si="9"/>
        <v>100018</v>
      </c>
      <c r="B20" s="389" t="s">
        <v>68</v>
      </c>
      <c r="C20" s="390" t="s">
        <v>63</v>
      </c>
      <c r="D20" s="391">
        <v>12330</v>
      </c>
      <c r="E20" s="392">
        <f t="shared" si="1"/>
        <v>0.4</v>
      </c>
      <c r="F20" s="500"/>
      <c r="G20" s="533">
        <v>88.92590749342574</v>
      </c>
      <c r="H20" s="514">
        <f t="shared" si="11"/>
        <v>1096456.4393939395</v>
      </c>
      <c r="I20" s="433">
        <v>84.599782264015843</v>
      </c>
      <c r="J20" s="440">
        <f t="shared" si="3"/>
        <v>1043115.3153153154</v>
      </c>
      <c r="K20" s="433">
        <v>84.599782264015843</v>
      </c>
      <c r="L20" s="474">
        <f t="shared" si="4"/>
        <v>1043115.3153153154</v>
      </c>
      <c r="M20" s="428">
        <v>73.651575147496146</v>
      </c>
      <c r="N20" s="481">
        <f t="shared" si="5"/>
        <v>908123.92156862747</v>
      </c>
      <c r="O20" s="428">
        <v>113.82516159158494</v>
      </c>
      <c r="P20" s="440">
        <f t="shared" si="0"/>
        <v>1403464.2424242424</v>
      </c>
      <c r="Q20" s="433">
        <v>44.995912408759125</v>
      </c>
      <c r="R20" s="440">
        <f t="shared" si="6"/>
        <v>554799.6</v>
      </c>
      <c r="S20" s="433">
        <v>60.827250608272507</v>
      </c>
      <c r="T20" s="488">
        <f t="shared" si="7"/>
        <v>750000</v>
      </c>
      <c r="U20" s="433">
        <v>90.056218449259134</v>
      </c>
      <c r="V20" s="534">
        <f t="shared" si="8"/>
        <v>1110393.1734793652</v>
      </c>
      <c r="W20" s="410" t="e">
        <f>+#REF!/D20</f>
        <v>#REF!</v>
      </c>
    </row>
    <row r="21" spans="1:23" ht="22.5" hidden="1" x14ac:dyDescent="0.25">
      <c r="A21" s="388">
        <f t="shared" si="9"/>
        <v>100019</v>
      </c>
      <c r="B21" s="389" t="s">
        <v>70</v>
      </c>
      <c r="C21" s="390" t="s">
        <v>63</v>
      </c>
      <c r="D21" s="391">
        <v>7480</v>
      </c>
      <c r="E21" s="392">
        <f t="shared" si="1"/>
        <v>0.4</v>
      </c>
      <c r="F21" s="500"/>
      <c r="G21" s="533">
        <v>146.5850854804732</v>
      </c>
      <c r="H21" s="514">
        <f t="shared" si="11"/>
        <v>1096456.4393939395</v>
      </c>
      <c r="I21" s="433">
        <v>139.45391915980153</v>
      </c>
      <c r="J21" s="440">
        <f t="shared" si="3"/>
        <v>1043115.3153153154</v>
      </c>
      <c r="K21" s="433">
        <v>139.45391915980153</v>
      </c>
      <c r="L21" s="474">
        <f t="shared" si="4"/>
        <v>1043115.3153153154</v>
      </c>
      <c r="M21" s="428">
        <v>121.40694138618014</v>
      </c>
      <c r="N21" s="481">
        <f t="shared" si="5"/>
        <v>908123.92156862747</v>
      </c>
      <c r="O21" s="428">
        <v>187.62890941500567</v>
      </c>
      <c r="P21" s="440">
        <f t="shared" si="0"/>
        <v>1403464.2424242424</v>
      </c>
      <c r="Q21" s="433">
        <v>74.171069518716578</v>
      </c>
      <c r="R21" s="440">
        <f t="shared" si="6"/>
        <v>554799.6</v>
      </c>
      <c r="S21" s="433">
        <v>100.26737967914438</v>
      </c>
      <c r="T21" s="488">
        <f t="shared" si="7"/>
        <v>750000</v>
      </c>
      <c r="U21" s="433">
        <v>148.44828522451405</v>
      </c>
      <c r="V21" s="534">
        <f t="shared" si="8"/>
        <v>1110393.1734793652</v>
      </c>
      <c r="W21" s="410" t="e">
        <f>+#REF!/D21</f>
        <v>#REF!</v>
      </c>
    </row>
    <row r="22" spans="1:23" ht="23.25" hidden="1" thickBot="1" x14ac:dyDescent="0.3">
      <c r="A22" s="388">
        <f t="shared" si="9"/>
        <v>100020</v>
      </c>
      <c r="B22" s="389" t="s">
        <v>72</v>
      </c>
      <c r="C22" s="390" t="s">
        <v>63</v>
      </c>
      <c r="D22" s="391">
        <v>4100</v>
      </c>
      <c r="E22" s="392">
        <f t="shared" si="1"/>
        <v>0.4</v>
      </c>
      <c r="F22" s="501">
        <f>COUNT(E17:E22)</f>
        <v>6</v>
      </c>
      <c r="G22" s="533">
        <v>267.42839985218035</v>
      </c>
      <c r="H22" s="514">
        <f t="shared" si="11"/>
        <v>1096456.4393939395</v>
      </c>
      <c r="I22" s="433">
        <v>254.4183695891013</v>
      </c>
      <c r="J22" s="440">
        <f t="shared" si="3"/>
        <v>1043115.3153153154</v>
      </c>
      <c r="K22" s="433">
        <v>254.4183695891013</v>
      </c>
      <c r="L22" s="474">
        <f t="shared" si="4"/>
        <v>1043115.3153153154</v>
      </c>
      <c r="M22" s="428">
        <v>221.49363940698231</v>
      </c>
      <c r="N22" s="481">
        <f t="shared" si="5"/>
        <v>908123.92156862747</v>
      </c>
      <c r="O22" s="428">
        <v>342.30835181079084</v>
      </c>
      <c r="P22" s="440">
        <f t="shared" si="0"/>
        <v>1403464.2424242424</v>
      </c>
      <c r="Q22" s="433">
        <v>135.3169756097561</v>
      </c>
      <c r="R22" s="440">
        <f t="shared" si="6"/>
        <v>554799.6</v>
      </c>
      <c r="S22" s="433">
        <v>182.92682926829269</v>
      </c>
      <c r="T22" s="488">
        <f t="shared" si="7"/>
        <v>750000</v>
      </c>
      <c r="U22" s="433">
        <v>270.82760328765005</v>
      </c>
      <c r="V22" s="534">
        <f t="shared" si="8"/>
        <v>1110393.1734793652</v>
      </c>
      <c r="W22" s="410" t="e">
        <f>+#REF!/D22</f>
        <v>#REF!</v>
      </c>
    </row>
    <row r="23" spans="1:23" ht="15.75" hidden="1" x14ac:dyDescent="0.25">
      <c r="A23" s="386">
        <f t="shared" si="9"/>
        <v>100021</v>
      </c>
      <c r="B23" s="393" t="s">
        <v>73</v>
      </c>
      <c r="C23" s="370" t="s">
        <v>75</v>
      </c>
      <c r="D23" s="394">
        <v>3300</v>
      </c>
      <c r="E23" s="387">
        <f t="shared" si="1"/>
        <v>0.5</v>
      </c>
      <c r="F23" s="502"/>
      <c r="G23" s="535">
        <v>215.71231798504527</v>
      </c>
      <c r="H23" s="515">
        <f>+G23*D23</f>
        <v>711850.64935064944</v>
      </c>
      <c r="I23" s="434">
        <v>205.21820521820524</v>
      </c>
      <c r="J23" s="441">
        <f t="shared" si="3"/>
        <v>677220.07722007728</v>
      </c>
      <c r="K23" s="434">
        <v>205.21820521820524</v>
      </c>
      <c r="L23" s="475">
        <f t="shared" si="4"/>
        <v>677220.07722007728</v>
      </c>
      <c r="M23" s="429">
        <v>178.66055513114335</v>
      </c>
      <c r="N23" s="482">
        <f t="shared" si="5"/>
        <v>589579.83193277312</v>
      </c>
      <c r="O23" s="429">
        <v>276.111767020858</v>
      </c>
      <c r="P23" s="441">
        <f t="shared" si="0"/>
        <v>911168.83116883144</v>
      </c>
      <c r="Q23" s="434">
        <v>115.82972582972582</v>
      </c>
      <c r="R23" s="441">
        <f t="shared" si="6"/>
        <v>382238.09523809521</v>
      </c>
      <c r="S23" s="434">
        <v>194.80519480519479</v>
      </c>
      <c r="T23" s="489">
        <f t="shared" si="7"/>
        <v>642857.14285714284</v>
      </c>
      <c r="U23" s="434">
        <v>180.78746650175222</v>
      </c>
      <c r="V23" s="536">
        <f t="shared" si="8"/>
        <v>596598.63945578237</v>
      </c>
      <c r="W23" s="410" t="e">
        <f>+#REF!/D23</f>
        <v>#REF!</v>
      </c>
    </row>
    <row r="24" spans="1:23" ht="15.75" hidden="1" x14ac:dyDescent="0.25">
      <c r="A24" s="386">
        <f t="shared" si="9"/>
        <v>100022</v>
      </c>
      <c r="B24" s="393" t="s">
        <v>76</v>
      </c>
      <c r="C24" s="370" t="s">
        <v>75</v>
      </c>
      <c r="D24" s="394">
        <v>3000</v>
      </c>
      <c r="E24" s="387">
        <f t="shared" si="1"/>
        <v>0.5</v>
      </c>
      <c r="F24" s="503"/>
      <c r="G24" s="535">
        <v>237.2835497835498</v>
      </c>
      <c r="H24" s="515">
        <f t="shared" ref="H24:H29" si="12">+G24*D24</f>
        <v>711850.64935064944</v>
      </c>
      <c r="I24" s="434">
        <v>225.74002574002577</v>
      </c>
      <c r="J24" s="441">
        <f t="shared" si="3"/>
        <v>677220.07722007728</v>
      </c>
      <c r="K24" s="434">
        <v>225.74002574002577</v>
      </c>
      <c r="L24" s="475">
        <f t="shared" si="4"/>
        <v>677220.07722007728</v>
      </c>
      <c r="M24" s="429">
        <v>196.52661064425772</v>
      </c>
      <c r="N24" s="482">
        <f t="shared" si="5"/>
        <v>589579.83193277312</v>
      </c>
      <c r="O24" s="429">
        <v>303.7229437229438</v>
      </c>
      <c r="P24" s="441">
        <f t="shared" si="0"/>
        <v>911168.83116883144</v>
      </c>
      <c r="Q24" s="434">
        <v>127.4126984126984</v>
      </c>
      <c r="R24" s="441">
        <f t="shared" si="6"/>
        <v>382238.09523809521</v>
      </c>
      <c r="S24" s="434">
        <v>214.28571428571428</v>
      </c>
      <c r="T24" s="489">
        <f t="shared" si="7"/>
        <v>642857.14285714284</v>
      </c>
      <c r="U24" s="434">
        <v>198.86621315192747</v>
      </c>
      <c r="V24" s="536">
        <f t="shared" si="8"/>
        <v>596598.63945578237</v>
      </c>
      <c r="W24" s="410" t="e">
        <f>+#REF!/D24</f>
        <v>#REF!</v>
      </c>
    </row>
    <row r="25" spans="1:23" ht="15.75" hidden="1" x14ac:dyDescent="0.25">
      <c r="A25" s="386">
        <f t="shared" si="9"/>
        <v>100023</v>
      </c>
      <c r="B25" s="393" t="s">
        <v>78</v>
      </c>
      <c r="C25" s="370" t="s">
        <v>75</v>
      </c>
      <c r="D25" s="394">
        <v>3800</v>
      </c>
      <c r="E25" s="387">
        <f t="shared" si="1"/>
        <v>0.4</v>
      </c>
      <c r="F25" s="503"/>
      <c r="G25" s="535">
        <v>187.32911825017089</v>
      </c>
      <c r="H25" s="515">
        <f t="shared" si="12"/>
        <v>711850.64935064944</v>
      </c>
      <c r="I25" s="434">
        <v>178.21580979475718</v>
      </c>
      <c r="J25" s="441">
        <f t="shared" si="3"/>
        <v>677220.07722007728</v>
      </c>
      <c r="K25" s="434">
        <v>178.21580979475718</v>
      </c>
      <c r="L25" s="475">
        <f t="shared" si="4"/>
        <v>677220.07722007728</v>
      </c>
      <c r="M25" s="429">
        <v>155.15258735072976</v>
      </c>
      <c r="N25" s="482">
        <f t="shared" si="5"/>
        <v>589579.83193277312</v>
      </c>
      <c r="O25" s="429">
        <v>239.7812713602188</v>
      </c>
      <c r="P25" s="441">
        <f t="shared" si="0"/>
        <v>911168.83116883144</v>
      </c>
      <c r="Q25" s="434">
        <v>100.58897243107769</v>
      </c>
      <c r="R25" s="441">
        <f t="shared" si="6"/>
        <v>382238.09523809521</v>
      </c>
      <c r="S25" s="434">
        <v>169.17293233082705</v>
      </c>
      <c r="T25" s="489">
        <f t="shared" si="7"/>
        <v>642857.14285714284</v>
      </c>
      <c r="U25" s="434">
        <v>156.999641962048</v>
      </c>
      <c r="V25" s="536">
        <f t="shared" si="8"/>
        <v>596598.63945578237</v>
      </c>
      <c r="W25" s="410" t="e">
        <f>+#REF!/D25</f>
        <v>#REF!</v>
      </c>
    </row>
    <row r="26" spans="1:23" ht="15.75" hidden="1" x14ac:dyDescent="0.25">
      <c r="A26" s="386">
        <f t="shared" si="9"/>
        <v>100024</v>
      </c>
      <c r="B26" s="395" t="s">
        <v>80</v>
      </c>
      <c r="C26" s="370" t="s">
        <v>75</v>
      </c>
      <c r="D26" s="394">
        <v>2300</v>
      </c>
      <c r="E26" s="387">
        <f t="shared" si="1"/>
        <v>0.5</v>
      </c>
      <c r="F26" s="503"/>
      <c r="G26" s="535">
        <v>309.5002823263693</v>
      </c>
      <c r="H26" s="515">
        <f t="shared" si="12"/>
        <v>711850.64935064944</v>
      </c>
      <c r="I26" s="434">
        <v>294.44351183481621</v>
      </c>
      <c r="J26" s="441">
        <f t="shared" si="3"/>
        <v>677220.07722007728</v>
      </c>
      <c r="K26" s="434">
        <v>294.44351183481621</v>
      </c>
      <c r="L26" s="475">
        <f t="shared" si="4"/>
        <v>677220.07722007728</v>
      </c>
      <c r="M26" s="429">
        <v>256.33905736207527</v>
      </c>
      <c r="N26" s="482">
        <f t="shared" si="5"/>
        <v>589579.83193277312</v>
      </c>
      <c r="O26" s="429">
        <v>396.16036137775279</v>
      </c>
      <c r="P26" s="441">
        <f t="shared" si="0"/>
        <v>911168.83116883144</v>
      </c>
      <c r="Q26" s="434">
        <v>166.19047619047618</v>
      </c>
      <c r="R26" s="441">
        <f t="shared" si="6"/>
        <v>382238.09523809521</v>
      </c>
      <c r="S26" s="434">
        <v>279.50310559006209</v>
      </c>
      <c r="T26" s="489">
        <f t="shared" si="7"/>
        <v>642857.14285714284</v>
      </c>
      <c r="U26" s="434">
        <v>259.39071280686187</v>
      </c>
      <c r="V26" s="536">
        <f t="shared" si="8"/>
        <v>596598.63945578225</v>
      </c>
      <c r="W26" s="410" t="e">
        <f>+#REF!/D26</f>
        <v>#REF!</v>
      </c>
    </row>
    <row r="27" spans="1:23" ht="15.75" hidden="1" x14ac:dyDescent="0.25">
      <c r="A27" s="386">
        <f t="shared" si="9"/>
        <v>100025</v>
      </c>
      <c r="B27" s="395" t="s">
        <v>82</v>
      </c>
      <c r="C27" s="370" t="s">
        <v>75</v>
      </c>
      <c r="D27" s="394">
        <v>3900</v>
      </c>
      <c r="E27" s="387">
        <f t="shared" si="1"/>
        <v>0.4</v>
      </c>
      <c r="F27" s="503"/>
      <c r="G27" s="535">
        <v>182.52580752580755</v>
      </c>
      <c r="H27" s="515">
        <f t="shared" si="12"/>
        <v>711850.64935064944</v>
      </c>
      <c r="I27" s="434">
        <v>173.64617364617365</v>
      </c>
      <c r="J27" s="441">
        <f t="shared" si="3"/>
        <v>677220.07722007728</v>
      </c>
      <c r="K27" s="434">
        <v>173.64617364617365</v>
      </c>
      <c r="L27" s="475">
        <f t="shared" si="4"/>
        <v>677220.07722007728</v>
      </c>
      <c r="M27" s="429">
        <v>151.17431588019824</v>
      </c>
      <c r="N27" s="482">
        <f t="shared" si="5"/>
        <v>589579.83193277312</v>
      </c>
      <c r="O27" s="429">
        <v>233.6330336330337</v>
      </c>
      <c r="P27" s="441">
        <f t="shared" si="0"/>
        <v>911168.83116883144</v>
      </c>
      <c r="Q27" s="434">
        <v>98.009768009767996</v>
      </c>
      <c r="R27" s="441">
        <f t="shared" si="6"/>
        <v>382238.09523809521</v>
      </c>
      <c r="S27" s="434">
        <v>164.83516483516482</v>
      </c>
      <c r="T27" s="489">
        <f t="shared" si="7"/>
        <v>642857.14285714284</v>
      </c>
      <c r="U27" s="434">
        <v>152.97401011686728</v>
      </c>
      <c r="V27" s="536">
        <f t="shared" si="8"/>
        <v>596598.63945578237</v>
      </c>
      <c r="W27" s="410" t="e">
        <f>+#REF!/D27</f>
        <v>#REF!</v>
      </c>
    </row>
    <row r="28" spans="1:23" ht="15.75" hidden="1" x14ac:dyDescent="0.25">
      <c r="A28" s="386">
        <f t="shared" si="9"/>
        <v>100026</v>
      </c>
      <c r="B28" s="395" t="s">
        <v>84</v>
      </c>
      <c r="C28" s="370" t="s">
        <v>75</v>
      </c>
      <c r="D28" s="394">
        <v>3000</v>
      </c>
      <c r="E28" s="387">
        <f t="shared" si="1"/>
        <v>0.5</v>
      </c>
      <c r="F28" s="503"/>
      <c r="G28" s="535">
        <v>237.2835497835498</v>
      </c>
      <c r="H28" s="515">
        <f t="shared" si="12"/>
        <v>711850.64935064944</v>
      </c>
      <c r="I28" s="434">
        <v>225.74002574002577</v>
      </c>
      <c r="J28" s="441">
        <f t="shared" si="3"/>
        <v>677220.07722007728</v>
      </c>
      <c r="K28" s="434">
        <v>225.74002574002577</v>
      </c>
      <c r="L28" s="475">
        <f t="shared" si="4"/>
        <v>677220.07722007728</v>
      </c>
      <c r="M28" s="429">
        <v>196.52661064425772</v>
      </c>
      <c r="N28" s="482">
        <f t="shared" si="5"/>
        <v>589579.83193277312</v>
      </c>
      <c r="O28" s="429">
        <v>303.7229437229438</v>
      </c>
      <c r="P28" s="441">
        <f t="shared" si="0"/>
        <v>911168.83116883144</v>
      </c>
      <c r="Q28" s="434">
        <v>127.4126984126984</v>
      </c>
      <c r="R28" s="441">
        <f t="shared" si="6"/>
        <v>382238.09523809521</v>
      </c>
      <c r="S28" s="434">
        <v>214.28571428571428</v>
      </c>
      <c r="T28" s="489">
        <f t="shared" si="7"/>
        <v>642857.14285714284</v>
      </c>
      <c r="U28" s="434">
        <v>198.86621315192747</v>
      </c>
      <c r="V28" s="536">
        <f t="shared" si="8"/>
        <v>596598.63945578237</v>
      </c>
      <c r="W28" s="410" t="e">
        <f>+#REF!/D28</f>
        <v>#REF!</v>
      </c>
    </row>
    <row r="29" spans="1:23" ht="15.75" hidden="1" x14ac:dyDescent="0.25">
      <c r="A29" s="442">
        <f t="shared" si="9"/>
        <v>100027</v>
      </c>
      <c r="B29" s="443" t="s">
        <v>85</v>
      </c>
      <c r="C29" s="444" t="s">
        <v>75</v>
      </c>
      <c r="D29" s="445">
        <v>4100</v>
      </c>
      <c r="E29" s="411">
        <f t="shared" si="1"/>
        <v>0.4</v>
      </c>
      <c r="F29" s="503">
        <f>COUNT(E23:E29)</f>
        <v>7</v>
      </c>
      <c r="G29" s="535">
        <v>173.62210959771937</v>
      </c>
      <c r="H29" s="515">
        <f t="shared" si="12"/>
        <v>711850.64935064944</v>
      </c>
      <c r="I29" s="434">
        <v>165.17562859026276</v>
      </c>
      <c r="J29" s="441">
        <f t="shared" si="3"/>
        <v>677220.07722007728</v>
      </c>
      <c r="K29" s="434">
        <v>165.17562859026276</v>
      </c>
      <c r="L29" s="475">
        <f t="shared" si="4"/>
        <v>677220.07722007728</v>
      </c>
      <c r="M29" s="429">
        <v>143.79995900799344</v>
      </c>
      <c r="N29" s="482">
        <f t="shared" si="5"/>
        <v>589579.83193277312</v>
      </c>
      <c r="O29" s="429">
        <v>222.23630028508083</v>
      </c>
      <c r="P29" s="441">
        <f t="shared" si="0"/>
        <v>911168.83116883144</v>
      </c>
      <c r="Q29" s="434">
        <v>93.228803716608581</v>
      </c>
      <c r="R29" s="441">
        <f t="shared" si="6"/>
        <v>382238.09523809521</v>
      </c>
      <c r="S29" s="434">
        <v>156.79442508710801</v>
      </c>
      <c r="T29" s="489">
        <f t="shared" si="7"/>
        <v>642857.14285714284</v>
      </c>
      <c r="U29" s="434">
        <v>145.51186328189814</v>
      </c>
      <c r="V29" s="536">
        <f t="shared" si="8"/>
        <v>596598.63945578237</v>
      </c>
      <c r="W29" s="410" t="e">
        <f>+#REF!/D29</f>
        <v>#REF!</v>
      </c>
    </row>
    <row r="30" spans="1:23" ht="15.75" hidden="1" x14ac:dyDescent="0.25">
      <c r="A30" s="446">
        <f t="shared" si="9"/>
        <v>100028</v>
      </c>
      <c r="B30" s="447" t="s">
        <v>86</v>
      </c>
      <c r="C30" s="448" t="s">
        <v>88</v>
      </c>
      <c r="D30" s="449">
        <v>2350</v>
      </c>
      <c r="E30" s="450">
        <f t="shared" si="1"/>
        <v>0.5</v>
      </c>
      <c r="F30" s="504"/>
      <c r="G30" s="537">
        <v>149.54061895551257</v>
      </c>
      <c r="H30" s="516">
        <f>+G30*D30</f>
        <v>351420.45454545453</v>
      </c>
      <c r="I30" s="435">
        <v>142.2656699252444</v>
      </c>
      <c r="J30" s="458">
        <f t="shared" si="3"/>
        <v>334324.32432432432</v>
      </c>
      <c r="K30" s="435">
        <v>142.2656699252444</v>
      </c>
      <c r="L30" s="476">
        <f t="shared" si="4"/>
        <v>334324.32432432432</v>
      </c>
      <c r="M30" s="430">
        <v>123.85481852315394</v>
      </c>
      <c r="N30" s="483">
        <f t="shared" si="5"/>
        <v>291058.82352941175</v>
      </c>
      <c r="O30" s="430">
        <v>191.41199226305611</v>
      </c>
      <c r="P30" s="458">
        <f t="shared" si="0"/>
        <v>449818.18181818182</v>
      </c>
      <c r="Q30" s="435">
        <v>78.879432624113505</v>
      </c>
      <c r="R30" s="458">
        <f t="shared" si="6"/>
        <v>185366.66666666674</v>
      </c>
      <c r="S30" s="435">
        <v>255.31914893617022</v>
      </c>
      <c r="T30" s="490">
        <f t="shared" si="7"/>
        <v>600000</v>
      </c>
      <c r="U30" s="435">
        <v>125.32928064842959</v>
      </c>
      <c r="V30" s="538">
        <f t="shared" si="8"/>
        <v>294523.80952380953</v>
      </c>
      <c r="W30" s="410" t="e">
        <f>+#REF!/D30</f>
        <v>#REF!</v>
      </c>
    </row>
    <row r="31" spans="1:23" ht="15.75" hidden="1" x14ac:dyDescent="0.25">
      <c r="A31" s="396">
        <f t="shared" si="9"/>
        <v>100029</v>
      </c>
      <c r="B31" s="397" t="s">
        <v>89</v>
      </c>
      <c r="C31" s="371" t="s">
        <v>88</v>
      </c>
      <c r="D31" s="398">
        <v>3000</v>
      </c>
      <c r="E31" s="399">
        <f t="shared" si="1"/>
        <v>0.5</v>
      </c>
      <c r="F31" s="505"/>
      <c r="G31" s="537">
        <v>117.14015151515152</v>
      </c>
      <c r="H31" s="516">
        <f t="shared" ref="H31:H34" si="13">+G31*D31</f>
        <v>351420.45454545453</v>
      </c>
      <c r="I31" s="435">
        <v>111.44144144144144</v>
      </c>
      <c r="J31" s="458">
        <f t="shared" si="3"/>
        <v>334324.32432432432</v>
      </c>
      <c r="K31" s="435">
        <v>111.44144144144144</v>
      </c>
      <c r="L31" s="476">
        <f t="shared" si="4"/>
        <v>334324.32432432432</v>
      </c>
      <c r="M31" s="430">
        <v>97.019607843137251</v>
      </c>
      <c r="N31" s="483">
        <f t="shared" si="5"/>
        <v>291058.82352941175</v>
      </c>
      <c r="O31" s="430">
        <v>149.93939393939394</v>
      </c>
      <c r="P31" s="458">
        <f t="shared" si="0"/>
        <v>449818.18181818182</v>
      </c>
      <c r="Q31" s="435">
        <v>61.788888888888899</v>
      </c>
      <c r="R31" s="458">
        <f t="shared" si="6"/>
        <v>185366.66666666669</v>
      </c>
      <c r="S31" s="435">
        <v>200</v>
      </c>
      <c r="T31" s="490">
        <f t="shared" si="7"/>
        <v>600000</v>
      </c>
      <c r="U31" s="435">
        <v>98.174603174603178</v>
      </c>
      <c r="V31" s="538">
        <f t="shared" si="8"/>
        <v>294523.80952380953</v>
      </c>
      <c r="W31" s="410" t="e">
        <f>+#REF!/D31</f>
        <v>#REF!</v>
      </c>
    </row>
    <row r="32" spans="1:23" ht="15.75" hidden="1" x14ac:dyDescent="0.25">
      <c r="A32" s="396">
        <f t="shared" si="9"/>
        <v>100030</v>
      </c>
      <c r="B32" s="397" t="s">
        <v>91</v>
      </c>
      <c r="C32" s="371" t="s">
        <v>88</v>
      </c>
      <c r="D32" s="398">
        <v>2300</v>
      </c>
      <c r="E32" s="399">
        <f t="shared" si="1"/>
        <v>0.5</v>
      </c>
      <c r="F32" s="505"/>
      <c r="G32" s="537">
        <v>152.79150197628456</v>
      </c>
      <c r="H32" s="516">
        <f t="shared" si="13"/>
        <v>351420.45454545447</v>
      </c>
      <c r="I32" s="435">
        <v>145.358401880141</v>
      </c>
      <c r="J32" s="458">
        <f t="shared" si="3"/>
        <v>334324.32432432432</v>
      </c>
      <c r="K32" s="435">
        <v>145.358401880141</v>
      </c>
      <c r="L32" s="476">
        <f t="shared" si="4"/>
        <v>334324.32432432432</v>
      </c>
      <c r="M32" s="430">
        <v>126.54731457800511</v>
      </c>
      <c r="N32" s="483">
        <f t="shared" si="5"/>
        <v>291058.82352941175</v>
      </c>
      <c r="O32" s="430">
        <v>195.57312252964428</v>
      </c>
      <c r="P32" s="458">
        <f t="shared" si="0"/>
        <v>449818.18181818182</v>
      </c>
      <c r="Q32" s="435">
        <v>80.594202898550733</v>
      </c>
      <c r="R32" s="458">
        <f t="shared" si="6"/>
        <v>185366.66666666669</v>
      </c>
      <c r="S32" s="435">
        <v>260.86956521739131</v>
      </c>
      <c r="T32" s="490">
        <f t="shared" si="7"/>
        <v>600000</v>
      </c>
      <c r="U32" s="435">
        <v>128.05383022774328</v>
      </c>
      <c r="V32" s="538">
        <f t="shared" si="8"/>
        <v>294523.80952380953</v>
      </c>
      <c r="W32" s="410" t="e">
        <f>+#REF!/D32</f>
        <v>#REF!</v>
      </c>
    </row>
    <row r="33" spans="1:24" ht="15.75" hidden="1" x14ac:dyDescent="0.25">
      <c r="A33" s="396">
        <f t="shared" si="9"/>
        <v>100031</v>
      </c>
      <c r="B33" s="397" t="s">
        <v>93</v>
      </c>
      <c r="C33" s="371" t="s">
        <v>88</v>
      </c>
      <c r="D33" s="398">
        <v>3800</v>
      </c>
      <c r="E33" s="399">
        <f t="shared" si="1"/>
        <v>0.4</v>
      </c>
      <c r="F33" s="505"/>
      <c r="G33" s="537">
        <v>92.479066985645929</v>
      </c>
      <c r="H33" s="516">
        <f t="shared" si="13"/>
        <v>351420.45454545453</v>
      </c>
      <c r="I33" s="435">
        <v>87.980085348506407</v>
      </c>
      <c r="J33" s="458">
        <f t="shared" si="3"/>
        <v>334324.32432432432</v>
      </c>
      <c r="K33" s="435">
        <v>87.980085348506407</v>
      </c>
      <c r="L33" s="476">
        <f t="shared" si="4"/>
        <v>334324.32432432432</v>
      </c>
      <c r="M33" s="430">
        <v>76.594427244582036</v>
      </c>
      <c r="N33" s="483">
        <f t="shared" si="5"/>
        <v>291058.82352941175</v>
      </c>
      <c r="O33" s="430">
        <v>118.37320574162679</v>
      </c>
      <c r="P33" s="458">
        <f t="shared" si="0"/>
        <v>449818.18181818182</v>
      </c>
      <c r="Q33" s="435">
        <v>48.780701754385973</v>
      </c>
      <c r="R33" s="458">
        <f t="shared" si="6"/>
        <v>185366.66666666669</v>
      </c>
      <c r="S33" s="435">
        <v>157.89473684210526</v>
      </c>
      <c r="T33" s="490">
        <f t="shared" si="7"/>
        <v>600000</v>
      </c>
      <c r="U33" s="435">
        <v>77.506265664160395</v>
      </c>
      <c r="V33" s="538">
        <f t="shared" si="8"/>
        <v>294523.80952380953</v>
      </c>
      <c r="W33" s="410" t="e">
        <f>+#REF!/D33</f>
        <v>#REF!</v>
      </c>
    </row>
    <row r="34" spans="1:24" ht="16.5" hidden="1" thickBot="1" x14ac:dyDescent="0.3">
      <c r="A34" s="453">
        <f t="shared" si="9"/>
        <v>100032</v>
      </c>
      <c r="B34" s="454" t="s">
        <v>95</v>
      </c>
      <c r="C34" s="455" t="s">
        <v>88</v>
      </c>
      <c r="D34" s="456">
        <v>4000</v>
      </c>
      <c r="E34" s="457">
        <f t="shared" si="1"/>
        <v>0.4</v>
      </c>
      <c r="F34" s="506">
        <f>COUNT(E30:E34)</f>
        <v>5</v>
      </c>
      <c r="G34" s="537">
        <v>87.855113636363626</v>
      </c>
      <c r="H34" s="516">
        <f t="shared" si="13"/>
        <v>351420.45454545453</v>
      </c>
      <c r="I34" s="435">
        <v>83.581081081081081</v>
      </c>
      <c r="J34" s="458">
        <f t="shared" si="3"/>
        <v>334324.32432432432</v>
      </c>
      <c r="K34" s="435">
        <v>83.581081081081081</v>
      </c>
      <c r="L34" s="476">
        <f t="shared" si="4"/>
        <v>334324.32432432432</v>
      </c>
      <c r="M34" s="430">
        <v>72.764705882352942</v>
      </c>
      <c r="N34" s="483">
        <f t="shared" si="5"/>
        <v>291058.82352941175</v>
      </c>
      <c r="O34" s="430">
        <v>112.45454545454545</v>
      </c>
      <c r="P34" s="458">
        <f t="shared" si="0"/>
        <v>449818.18181818182</v>
      </c>
      <c r="Q34" s="435">
        <v>46.341666666666669</v>
      </c>
      <c r="R34" s="458">
        <f t="shared" si="6"/>
        <v>185366.66666666669</v>
      </c>
      <c r="S34" s="435">
        <v>150</v>
      </c>
      <c r="T34" s="490">
        <f t="shared" si="7"/>
        <v>600000</v>
      </c>
      <c r="U34" s="435">
        <v>73.63095238095238</v>
      </c>
      <c r="V34" s="538">
        <f t="shared" si="8"/>
        <v>294523.80952380953</v>
      </c>
      <c r="W34" s="410" t="e">
        <f>+#REF!/D34</f>
        <v>#REF!</v>
      </c>
    </row>
    <row r="35" spans="1:24" ht="15.75" hidden="1" x14ac:dyDescent="0.25">
      <c r="A35" s="459">
        <f t="shared" si="9"/>
        <v>100033</v>
      </c>
      <c r="B35" s="460" t="s">
        <v>22</v>
      </c>
      <c r="C35" s="461" t="s">
        <v>97</v>
      </c>
      <c r="D35" s="462">
        <v>1910</v>
      </c>
      <c r="E35" s="463">
        <f t="shared" si="1"/>
        <v>0.5</v>
      </c>
      <c r="F35" s="507"/>
      <c r="G35" s="539">
        <v>1116.3714079604949</v>
      </c>
      <c r="H35" s="517">
        <f>+G35*D35</f>
        <v>2132269.3892045454</v>
      </c>
      <c r="I35" s="468">
        <v>1062.0614475732277</v>
      </c>
      <c r="J35" s="469">
        <f t="shared" si="3"/>
        <v>2028537.3648648649</v>
      </c>
      <c r="K35" s="468">
        <v>1062.0614475732277</v>
      </c>
      <c r="L35" s="477">
        <f t="shared" si="4"/>
        <v>2028537.3648648649</v>
      </c>
      <c r="M35" s="470">
        <v>1849.2364028333848</v>
      </c>
      <c r="N35" s="484">
        <f t="shared" si="5"/>
        <v>3532041.5294117648</v>
      </c>
      <c r="O35" s="470" t="s">
        <v>21</v>
      </c>
      <c r="P35" s="469" t="s">
        <v>21</v>
      </c>
      <c r="Q35" s="468">
        <v>597.8869415357766</v>
      </c>
      <c r="R35" s="469">
        <f t="shared" si="6"/>
        <v>1141964.0583333333</v>
      </c>
      <c r="S35" s="468">
        <v>294.50261780104711</v>
      </c>
      <c r="T35" s="491">
        <f t="shared" si="7"/>
        <v>562500</v>
      </c>
      <c r="U35" s="468">
        <v>1130.5624594864123</v>
      </c>
      <c r="V35" s="540">
        <f t="shared" si="8"/>
        <v>2159374.2976190476</v>
      </c>
      <c r="W35" s="410" t="e">
        <f>+#REF!/D35</f>
        <v>#REF!</v>
      </c>
    </row>
    <row r="36" spans="1:24" ht="22.5" hidden="1" x14ac:dyDescent="0.25">
      <c r="A36" s="464">
        <f t="shared" si="9"/>
        <v>100034</v>
      </c>
      <c r="B36" s="465" t="s">
        <v>23</v>
      </c>
      <c r="C36" s="466" t="s">
        <v>97</v>
      </c>
      <c r="D36" s="467">
        <v>2170</v>
      </c>
      <c r="E36" s="463">
        <f t="shared" si="1"/>
        <v>0.5</v>
      </c>
      <c r="F36" s="507"/>
      <c r="G36" s="539">
        <v>982.61262175324669</v>
      </c>
      <c r="H36" s="517">
        <f t="shared" ref="H36:H42" si="14">+G36*D36</f>
        <v>2132269.3892045454</v>
      </c>
      <c r="I36" s="468">
        <v>934.8098455598456</v>
      </c>
      <c r="J36" s="469">
        <f t="shared" si="3"/>
        <v>2028537.3648648649</v>
      </c>
      <c r="K36" s="468">
        <v>934.8098455598456</v>
      </c>
      <c r="L36" s="477">
        <f t="shared" si="4"/>
        <v>2028537.3648648649</v>
      </c>
      <c r="M36" s="470">
        <v>1627.6689075630252</v>
      </c>
      <c r="N36" s="484">
        <f t="shared" si="5"/>
        <v>3532041.5294117648</v>
      </c>
      <c r="O36" s="470" t="s">
        <v>21</v>
      </c>
      <c r="P36" s="469" t="s">
        <v>21</v>
      </c>
      <c r="Q36" s="468">
        <v>526.25071812596002</v>
      </c>
      <c r="R36" s="469">
        <f t="shared" si="6"/>
        <v>1141964.0583333333</v>
      </c>
      <c r="S36" s="468">
        <v>259.21658986175117</v>
      </c>
      <c r="T36" s="491">
        <f t="shared" si="7"/>
        <v>562500</v>
      </c>
      <c r="U36" s="468">
        <v>995.10336295808645</v>
      </c>
      <c r="V36" s="540">
        <f t="shared" si="8"/>
        <v>2159374.2976190476</v>
      </c>
      <c r="W36" s="410" t="e">
        <f>+#REF!/D36</f>
        <v>#REF!</v>
      </c>
    </row>
    <row r="37" spans="1:24" ht="15.75" hidden="1" x14ac:dyDescent="0.25">
      <c r="A37" s="464">
        <f t="shared" si="9"/>
        <v>100035</v>
      </c>
      <c r="B37" s="465" t="s">
        <v>24</v>
      </c>
      <c r="C37" s="466" t="s">
        <v>97</v>
      </c>
      <c r="D37" s="467">
        <v>1670</v>
      </c>
      <c r="E37" s="463">
        <f t="shared" si="1"/>
        <v>0.5</v>
      </c>
      <c r="F37" s="507"/>
      <c r="G37" s="539">
        <v>1276.8080174877518</v>
      </c>
      <c r="H37" s="517">
        <f t="shared" si="14"/>
        <v>2132269.3892045454</v>
      </c>
      <c r="I37" s="468">
        <v>1214.6930328532126</v>
      </c>
      <c r="J37" s="469">
        <f t="shared" si="3"/>
        <v>2028537.3648648651</v>
      </c>
      <c r="K37" s="468">
        <v>1214.6930328532126</v>
      </c>
      <c r="L37" s="477">
        <f t="shared" si="4"/>
        <v>2028537.3648648651</v>
      </c>
      <c r="M37" s="470">
        <v>2114.9949277914761</v>
      </c>
      <c r="N37" s="484">
        <f t="shared" si="5"/>
        <v>3532041.5294117653</v>
      </c>
      <c r="O37" s="470" t="s">
        <v>21</v>
      </c>
      <c r="P37" s="469" t="s">
        <v>21</v>
      </c>
      <c r="Q37" s="468">
        <v>683.8108133732535</v>
      </c>
      <c r="R37" s="469">
        <f t="shared" si="6"/>
        <v>1141964.0583333333</v>
      </c>
      <c r="S37" s="468">
        <v>336.82634730538922</v>
      </c>
      <c r="T37" s="491">
        <f t="shared" si="7"/>
        <v>562500</v>
      </c>
      <c r="U37" s="468">
        <v>1293.0385015682918</v>
      </c>
      <c r="V37" s="540">
        <f t="shared" si="8"/>
        <v>2159374.2976190476</v>
      </c>
      <c r="W37" s="410" t="e">
        <f>+#REF!/D37</f>
        <v>#REF!</v>
      </c>
    </row>
    <row r="38" spans="1:24" ht="15.75" hidden="1" x14ac:dyDescent="0.25">
      <c r="A38" s="464">
        <f t="shared" si="9"/>
        <v>100036</v>
      </c>
      <c r="B38" s="465" t="s">
        <v>25</v>
      </c>
      <c r="C38" s="466" t="s">
        <v>97</v>
      </c>
      <c r="D38" s="467">
        <v>1020</v>
      </c>
      <c r="E38" s="463">
        <f t="shared" si="1"/>
        <v>0.5</v>
      </c>
      <c r="F38" s="507"/>
      <c r="G38" s="539">
        <v>2090.4601854946523</v>
      </c>
      <c r="H38" s="517">
        <f t="shared" si="14"/>
        <v>2132269.3892045454</v>
      </c>
      <c r="I38" s="468">
        <v>1988.7621224165341</v>
      </c>
      <c r="J38" s="469">
        <f t="shared" si="3"/>
        <v>2028537.3648648649</v>
      </c>
      <c r="K38" s="468">
        <v>1988.7621224165341</v>
      </c>
      <c r="L38" s="477">
        <f t="shared" si="4"/>
        <v>2028537.3648648649</v>
      </c>
      <c r="M38" s="470">
        <v>3462.7858131487892</v>
      </c>
      <c r="N38" s="484">
        <f t="shared" si="5"/>
        <v>3532041.5294117648</v>
      </c>
      <c r="O38" s="470" t="s">
        <v>21</v>
      </c>
      <c r="P38" s="469" t="s">
        <v>21</v>
      </c>
      <c r="Q38" s="468">
        <v>1119.5726062091503</v>
      </c>
      <c r="R38" s="469">
        <f t="shared" si="6"/>
        <v>1141964.0583333333</v>
      </c>
      <c r="S38" s="468">
        <v>551.47058823529414</v>
      </c>
      <c r="T38" s="491">
        <f t="shared" si="7"/>
        <v>562500</v>
      </c>
      <c r="U38" s="468">
        <v>2117.0336251167132</v>
      </c>
      <c r="V38" s="540">
        <f t="shared" si="8"/>
        <v>2159374.2976190476</v>
      </c>
      <c r="W38" s="410" t="e">
        <f>+#REF!/D38</f>
        <v>#REF!</v>
      </c>
    </row>
    <row r="39" spans="1:24" ht="15.75" hidden="1" x14ac:dyDescent="0.25">
      <c r="A39" s="464">
        <f t="shared" si="9"/>
        <v>100037</v>
      </c>
      <c r="B39" s="465" t="s">
        <v>26</v>
      </c>
      <c r="C39" s="466" t="s">
        <v>97</v>
      </c>
      <c r="D39" s="467">
        <v>1430</v>
      </c>
      <c r="E39" s="463">
        <f t="shared" si="1"/>
        <v>0.5</v>
      </c>
      <c r="F39" s="507"/>
      <c r="G39" s="539">
        <v>1491.0974749682136</v>
      </c>
      <c r="H39" s="517">
        <f t="shared" si="14"/>
        <v>2132269.3892045454</v>
      </c>
      <c r="I39" s="468">
        <v>1418.5575978075979</v>
      </c>
      <c r="J39" s="469">
        <f t="shared" si="3"/>
        <v>2028537.3648648649</v>
      </c>
      <c r="K39" s="468">
        <v>1418.5575978075979</v>
      </c>
      <c r="L39" s="477">
        <f t="shared" si="4"/>
        <v>2028537.3648648649</v>
      </c>
      <c r="M39" s="470">
        <v>2469.9591114767586</v>
      </c>
      <c r="N39" s="484">
        <f t="shared" si="5"/>
        <v>3532041.5294117648</v>
      </c>
      <c r="O39" s="470" t="s">
        <v>21</v>
      </c>
      <c r="P39" s="469" t="s">
        <v>21</v>
      </c>
      <c r="Q39" s="468">
        <v>798.5762645687646</v>
      </c>
      <c r="R39" s="469">
        <f t="shared" si="6"/>
        <v>1141964.0583333333</v>
      </c>
      <c r="S39" s="468">
        <v>393.35664335664336</v>
      </c>
      <c r="T39" s="491">
        <f t="shared" si="7"/>
        <v>562500</v>
      </c>
      <c r="U39" s="468">
        <v>1510.0519563769562</v>
      </c>
      <c r="V39" s="540">
        <f t="shared" si="8"/>
        <v>2159374.2976190476</v>
      </c>
      <c r="W39" s="410" t="e">
        <f>+#REF!/D39</f>
        <v>#REF!</v>
      </c>
    </row>
    <row r="40" spans="1:24" ht="15.75" hidden="1" x14ac:dyDescent="0.25">
      <c r="A40" s="464">
        <f t="shared" si="9"/>
        <v>100038</v>
      </c>
      <c r="B40" s="465" t="s">
        <v>27</v>
      </c>
      <c r="C40" s="466" t="s">
        <v>97</v>
      </c>
      <c r="D40" s="467">
        <v>13260</v>
      </c>
      <c r="E40" s="463">
        <f t="shared" si="1"/>
        <v>0.4</v>
      </c>
      <c r="F40" s="507"/>
      <c r="G40" s="539">
        <v>160.8046296534348</v>
      </c>
      <c r="H40" s="517">
        <f t="shared" si="14"/>
        <v>2132269.3892045454</v>
      </c>
      <c r="I40" s="468">
        <v>152.9817017243488</v>
      </c>
      <c r="J40" s="469">
        <f t="shared" si="3"/>
        <v>2028537.3648648651</v>
      </c>
      <c r="K40" s="468">
        <v>152.9817017243488</v>
      </c>
      <c r="L40" s="477">
        <f t="shared" si="4"/>
        <v>2028537.3648648651</v>
      </c>
      <c r="M40" s="470">
        <v>266.36813947298378</v>
      </c>
      <c r="N40" s="484">
        <f t="shared" si="5"/>
        <v>3532041.5294117648</v>
      </c>
      <c r="O40" s="470" t="s">
        <v>21</v>
      </c>
      <c r="P40" s="469" t="s">
        <v>21</v>
      </c>
      <c r="Q40" s="468">
        <v>86.120969708396174</v>
      </c>
      <c r="R40" s="469">
        <f t="shared" si="6"/>
        <v>1141964.0583333333</v>
      </c>
      <c r="S40" s="468">
        <v>42.420814479638011</v>
      </c>
      <c r="T40" s="491">
        <f t="shared" si="7"/>
        <v>562500</v>
      </c>
      <c r="U40" s="468">
        <v>162.84874039359332</v>
      </c>
      <c r="V40" s="540">
        <f t="shared" si="8"/>
        <v>2159374.2976190476</v>
      </c>
      <c r="W40" s="410" t="e">
        <f>+#REF!/D40</f>
        <v>#REF!</v>
      </c>
    </row>
    <row r="41" spans="1:24" ht="22.5" hidden="1" x14ac:dyDescent="0.25">
      <c r="A41" s="464">
        <f t="shared" si="9"/>
        <v>100039</v>
      </c>
      <c r="B41" s="465" t="s">
        <v>28</v>
      </c>
      <c r="C41" s="466" t="s">
        <v>97</v>
      </c>
      <c r="D41" s="467">
        <v>2840</v>
      </c>
      <c r="E41" s="463">
        <f t="shared" si="1"/>
        <v>0.5</v>
      </c>
      <c r="F41" s="507"/>
      <c r="G41" s="539">
        <v>750.79908070582587</v>
      </c>
      <c r="H41" s="517">
        <f t="shared" si="14"/>
        <v>2132269.3892045454</v>
      </c>
      <c r="I41" s="468">
        <v>714.27372002283971</v>
      </c>
      <c r="J41" s="469">
        <f t="shared" si="3"/>
        <v>2028537.3648648649</v>
      </c>
      <c r="K41" s="468">
        <v>714.27372002283971</v>
      </c>
      <c r="L41" s="477">
        <f t="shared" si="4"/>
        <v>2028537.3648648649</v>
      </c>
      <c r="M41" s="470">
        <v>1243.6765948632974</v>
      </c>
      <c r="N41" s="484">
        <f t="shared" si="5"/>
        <v>3532041.5294117648</v>
      </c>
      <c r="O41" s="470" t="s">
        <v>21</v>
      </c>
      <c r="P41" s="469" t="s">
        <v>21</v>
      </c>
      <c r="Q41" s="468">
        <v>402.1000205399061</v>
      </c>
      <c r="R41" s="469">
        <f t="shared" si="6"/>
        <v>1141964.0583333333</v>
      </c>
      <c r="S41" s="468">
        <v>198.06338028169014</v>
      </c>
      <c r="T41" s="491">
        <f t="shared" si="7"/>
        <v>562500</v>
      </c>
      <c r="U41" s="468">
        <v>760.34306254191813</v>
      </c>
      <c r="V41" s="540">
        <f t="shared" si="8"/>
        <v>2159374.2976190476</v>
      </c>
      <c r="W41" s="410" t="e">
        <f>+#REF!/D41</f>
        <v>#REF!</v>
      </c>
    </row>
    <row r="42" spans="1:24" ht="16.5" hidden="1" thickBot="1" x14ac:dyDescent="0.3">
      <c r="A42" s="464">
        <f t="shared" si="9"/>
        <v>100040</v>
      </c>
      <c r="B42" s="465" t="s">
        <v>29</v>
      </c>
      <c r="C42" s="466" t="s">
        <v>97</v>
      </c>
      <c r="D42" s="467">
        <v>3800</v>
      </c>
      <c r="E42" s="463">
        <f t="shared" si="1"/>
        <v>0.4</v>
      </c>
      <c r="F42" s="508">
        <f>COUNT(E35:E42)</f>
        <v>8</v>
      </c>
      <c r="G42" s="539">
        <v>561.12352347488036</v>
      </c>
      <c r="H42" s="517">
        <f t="shared" si="14"/>
        <v>2132269.3892045454</v>
      </c>
      <c r="I42" s="468">
        <v>533.82562233285921</v>
      </c>
      <c r="J42" s="469">
        <f t="shared" si="3"/>
        <v>2028537.3648648651</v>
      </c>
      <c r="K42" s="468">
        <v>533.82562233285921</v>
      </c>
      <c r="L42" s="477">
        <f t="shared" si="4"/>
        <v>2028537.3648648651</v>
      </c>
      <c r="M42" s="470">
        <v>929.484613003096</v>
      </c>
      <c r="N42" s="484">
        <f t="shared" si="5"/>
        <v>3532041.5294117648</v>
      </c>
      <c r="O42" s="470" t="s">
        <v>21</v>
      </c>
      <c r="P42" s="469" t="s">
        <v>21</v>
      </c>
      <c r="Q42" s="468">
        <v>300.51685745614037</v>
      </c>
      <c r="R42" s="469">
        <f t="shared" si="6"/>
        <v>1141964.0583333333</v>
      </c>
      <c r="S42" s="468">
        <v>148.02631578947367</v>
      </c>
      <c r="T42" s="491">
        <f t="shared" si="7"/>
        <v>562500</v>
      </c>
      <c r="U42" s="468">
        <v>568.25639411027566</v>
      </c>
      <c r="V42" s="540">
        <f t="shared" si="8"/>
        <v>2159374.2976190476</v>
      </c>
      <c r="W42" s="410" t="e">
        <f>+#REF!/D42</f>
        <v>#REF!</v>
      </c>
      <c r="X42">
        <f ca="1">-X42</f>
        <v>0</v>
      </c>
    </row>
    <row r="43" spans="1:24" ht="22.5" hidden="1" x14ac:dyDescent="0.25">
      <c r="A43" s="406">
        <f t="shared" si="9"/>
        <v>100041</v>
      </c>
      <c r="B43" s="407" t="s">
        <v>106</v>
      </c>
      <c r="C43" s="408" t="s">
        <v>108</v>
      </c>
      <c r="D43" s="409">
        <v>3440</v>
      </c>
      <c r="E43" s="412">
        <f t="shared" si="1"/>
        <v>0.5</v>
      </c>
      <c r="F43" s="509"/>
      <c r="G43" s="541">
        <v>156.01810388161235</v>
      </c>
      <c r="H43" s="518">
        <f>+G43*D43</f>
        <v>536702.27735274646</v>
      </c>
      <c r="I43" s="436">
        <v>148.4280339630474</v>
      </c>
      <c r="J43" s="471">
        <f t="shared" si="3"/>
        <v>510592.43683288305</v>
      </c>
      <c r="K43" s="436">
        <v>148.4280339630474</v>
      </c>
      <c r="L43" s="478">
        <f t="shared" si="4"/>
        <v>510592.43683288305</v>
      </c>
      <c r="M43" s="431">
        <v>129.21970015606479</v>
      </c>
      <c r="N43" s="485">
        <f t="shared" si="5"/>
        <v>444515.76853686286</v>
      </c>
      <c r="O43" s="431">
        <v>199.70317296846378</v>
      </c>
      <c r="P43" s="471">
        <f t="shared" si="0"/>
        <v>686978.91501151538</v>
      </c>
      <c r="Q43" s="436">
        <v>85.039536214705407</v>
      </c>
      <c r="R43" s="471">
        <f t="shared" si="6"/>
        <v>292536.00457858661</v>
      </c>
      <c r="S43" s="436">
        <v>163.51744186046511</v>
      </c>
      <c r="T43" s="492">
        <f t="shared" si="7"/>
        <v>562500</v>
      </c>
      <c r="U43" s="436">
        <v>133.16483751953811</v>
      </c>
      <c r="V43" s="542">
        <f t="shared" si="8"/>
        <v>458087.04106721107</v>
      </c>
      <c r="W43" s="410" t="e">
        <f>+#REF!/D43</f>
        <v>#REF!</v>
      </c>
    </row>
    <row r="44" spans="1:24" ht="22.5" hidden="1" x14ac:dyDescent="0.25">
      <c r="A44" s="406">
        <f t="shared" si="9"/>
        <v>100042</v>
      </c>
      <c r="B44" s="407" t="s">
        <v>106</v>
      </c>
      <c r="C44" s="408" t="s">
        <v>108</v>
      </c>
      <c r="D44" s="409">
        <v>2060</v>
      </c>
      <c r="E44" s="412">
        <f t="shared" si="1"/>
        <v>0.5</v>
      </c>
      <c r="F44" s="510"/>
      <c r="G44" s="541">
        <v>260.53508609356624</v>
      </c>
      <c r="H44" s="518">
        <f t="shared" ref="H44:H50" si="15">+G44*D44</f>
        <v>536702.27735274646</v>
      </c>
      <c r="I44" s="436">
        <v>247.86040622955488</v>
      </c>
      <c r="J44" s="471">
        <f t="shared" si="3"/>
        <v>510592.43683288305</v>
      </c>
      <c r="K44" s="436">
        <v>247.86040622955488</v>
      </c>
      <c r="L44" s="478">
        <f t="shared" si="4"/>
        <v>510592.43683288305</v>
      </c>
      <c r="M44" s="431">
        <v>215.78435365867128</v>
      </c>
      <c r="N44" s="485">
        <f t="shared" si="5"/>
        <v>444515.76853686286</v>
      </c>
      <c r="O44" s="431">
        <v>333.48491019976473</v>
      </c>
      <c r="P44" s="471">
        <f t="shared" si="0"/>
        <v>686978.91501151538</v>
      </c>
      <c r="Q44" s="436">
        <v>142.00776921290611</v>
      </c>
      <c r="R44" s="471">
        <f t="shared" si="6"/>
        <v>292536.00457858661</v>
      </c>
      <c r="S44" s="436">
        <v>273.05825242718447</v>
      </c>
      <c r="T44" s="492">
        <f t="shared" si="7"/>
        <v>562500</v>
      </c>
      <c r="U44" s="436">
        <v>222.37235003262677</v>
      </c>
      <c r="V44" s="542">
        <f t="shared" si="8"/>
        <v>458087.04106721113</v>
      </c>
      <c r="W44" s="410" t="e">
        <f>+#REF!/D44</f>
        <v>#REF!</v>
      </c>
    </row>
    <row r="45" spans="1:24" ht="33.75" hidden="1" x14ac:dyDescent="0.25">
      <c r="A45" s="406">
        <f t="shared" si="9"/>
        <v>100043</v>
      </c>
      <c r="B45" s="407" t="s">
        <v>112</v>
      </c>
      <c r="C45" s="408" t="s">
        <v>108</v>
      </c>
      <c r="D45" s="409">
        <v>2810</v>
      </c>
      <c r="E45" s="412">
        <f t="shared" si="1"/>
        <v>0.5</v>
      </c>
      <c r="F45" s="510"/>
      <c r="G45" s="541">
        <v>190.99725172695602</v>
      </c>
      <c r="H45" s="518">
        <f t="shared" si="15"/>
        <v>536702.27735274646</v>
      </c>
      <c r="I45" s="436">
        <v>181.70549353483383</v>
      </c>
      <c r="J45" s="471">
        <f t="shared" si="3"/>
        <v>510592.4368328831</v>
      </c>
      <c r="K45" s="436">
        <v>181.70549353483383</v>
      </c>
      <c r="L45" s="478">
        <f t="shared" si="4"/>
        <v>510592.4368328831</v>
      </c>
      <c r="M45" s="431">
        <v>158.19066495973766</v>
      </c>
      <c r="N45" s="485">
        <f t="shared" si="5"/>
        <v>444515.7685368628</v>
      </c>
      <c r="O45" s="431">
        <v>244.47648221050369</v>
      </c>
      <c r="P45" s="471">
        <f t="shared" si="0"/>
        <v>686978.91501151538</v>
      </c>
      <c r="Q45" s="436">
        <v>104.10533970768206</v>
      </c>
      <c r="R45" s="471">
        <f t="shared" si="6"/>
        <v>292536.00457858661</v>
      </c>
      <c r="S45" s="436">
        <v>200.1779359430605</v>
      </c>
      <c r="T45" s="492">
        <f t="shared" si="7"/>
        <v>562500</v>
      </c>
      <c r="U45" s="436">
        <v>163.02029931217479</v>
      </c>
      <c r="V45" s="542">
        <f t="shared" si="8"/>
        <v>458087.04106721113</v>
      </c>
      <c r="W45" s="410" t="e">
        <f>+#REF!/D45</f>
        <v>#REF!</v>
      </c>
    </row>
    <row r="46" spans="1:24" ht="33.75" hidden="1" x14ac:dyDescent="0.25">
      <c r="A46" s="406">
        <f t="shared" si="9"/>
        <v>100044</v>
      </c>
      <c r="B46" s="407" t="s">
        <v>113</v>
      </c>
      <c r="C46" s="408" t="s">
        <v>108</v>
      </c>
      <c r="D46" s="409">
        <v>4140</v>
      </c>
      <c r="E46" s="412">
        <f t="shared" si="1"/>
        <v>0.4</v>
      </c>
      <c r="F46" s="510"/>
      <c r="G46" s="541">
        <v>129.63823124462476</v>
      </c>
      <c r="H46" s="518">
        <f t="shared" si="15"/>
        <v>536702.27735274646</v>
      </c>
      <c r="I46" s="436">
        <v>123.33150648137271</v>
      </c>
      <c r="J46" s="471">
        <f t="shared" si="3"/>
        <v>510592.43683288305</v>
      </c>
      <c r="K46" s="436">
        <v>123.33150648137271</v>
      </c>
      <c r="L46" s="478">
        <f t="shared" si="4"/>
        <v>510592.43683288305</v>
      </c>
      <c r="M46" s="431">
        <v>107.37095858378331</v>
      </c>
      <c r="N46" s="485">
        <f t="shared" si="5"/>
        <v>444515.76853686286</v>
      </c>
      <c r="O46" s="431">
        <v>165.93693599311965</v>
      </c>
      <c r="P46" s="471">
        <f t="shared" si="0"/>
        <v>686978.91501151538</v>
      </c>
      <c r="Q46" s="436">
        <v>70.660870671156189</v>
      </c>
      <c r="R46" s="471">
        <f t="shared" si="6"/>
        <v>292536.00457858661</v>
      </c>
      <c r="S46" s="436">
        <v>135.86956521739131</v>
      </c>
      <c r="T46" s="492">
        <f t="shared" si="7"/>
        <v>562500</v>
      </c>
      <c r="U46" s="436">
        <v>110.64904373604134</v>
      </c>
      <c r="V46" s="542">
        <f t="shared" si="8"/>
        <v>458087.04106721113</v>
      </c>
      <c r="W46" s="410" t="e">
        <f>+#REF!/D46</f>
        <v>#REF!</v>
      </c>
    </row>
    <row r="47" spans="1:24" ht="33.75" hidden="1" x14ac:dyDescent="0.25">
      <c r="A47" s="406">
        <f t="shared" si="9"/>
        <v>100045</v>
      </c>
      <c r="B47" s="407" t="s">
        <v>116</v>
      </c>
      <c r="C47" s="408" t="s">
        <v>108</v>
      </c>
      <c r="D47" s="409">
        <v>2150</v>
      </c>
      <c r="E47" s="412">
        <f t="shared" si="1"/>
        <v>0.5</v>
      </c>
      <c r="F47" s="510"/>
      <c r="G47" s="541">
        <v>249.62896621057976</v>
      </c>
      <c r="H47" s="518">
        <f t="shared" si="15"/>
        <v>536702.27735274646</v>
      </c>
      <c r="I47" s="436">
        <v>237.48485434087584</v>
      </c>
      <c r="J47" s="471">
        <f t="shared" si="3"/>
        <v>510592.43683288305</v>
      </c>
      <c r="K47" s="436">
        <v>237.48485434087584</v>
      </c>
      <c r="L47" s="478">
        <f t="shared" si="4"/>
        <v>510592.43683288305</v>
      </c>
      <c r="M47" s="431">
        <v>206.75152024970365</v>
      </c>
      <c r="N47" s="485">
        <f t="shared" si="5"/>
        <v>444515.76853686286</v>
      </c>
      <c r="O47" s="431">
        <v>319.52507674954205</v>
      </c>
      <c r="P47" s="471">
        <f t="shared" si="0"/>
        <v>686978.91501151538</v>
      </c>
      <c r="Q47" s="436">
        <v>136.06325794352867</v>
      </c>
      <c r="R47" s="471">
        <f t="shared" si="6"/>
        <v>292536.00457858661</v>
      </c>
      <c r="S47" s="436">
        <v>261.62790697674421</v>
      </c>
      <c r="T47" s="492">
        <f t="shared" si="7"/>
        <v>562500.00000000012</v>
      </c>
      <c r="U47" s="436">
        <v>213.06374003126101</v>
      </c>
      <c r="V47" s="542">
        <f t="shared" si="8"/>
        <v>458087.04106721119</v>
      </c>
      <c r="W47" s="410" t="e">
        <f>+#REF!/D47</f>
        <v>#REF!</v>
      </c>
    </row>
    <row r="48" spans="1:24" ht="22.5" hidden="1" x14ac:dyDescent="0.25">
      <c r="A48" s="406">
        <f t="shared" si="9"/>
        <v>100046</v>
      </c>
      <c r="B48" s="407" t="s">
        <v>118</v>
      </c>
      <c r="C48" s="408" t="s">
        <v>108</v>
      </c>
      <c r="D48" s="409">
        <v>2150</v>
      </c>
      <c r="E48" s="412">
        <f t="shared" si="1"/>
        <v>0.5</v>
      </c>
      <c r="F48" s="510"/>
      <c r="G48" s="541">
        <v>249.62896621057976</v>
      </c>
      <c r="H48" s="518">
        <f t="shared" si="15"/>
        <v>536702.27735274646</v>
      </c>
      <c r="I48" s="436">
        <v>237.48485434087584</v>
      </c>
      <c r="J48" s="471">
        <f t="shared" si="3"/>
        <v>510592.43683288305</v>
      </c>
      <c r="K48" s="436">
        <v>237.48485434087584</v>
      </c>
      <c r="L48" s="478">
        <f t="shared" si="4"/>
        <v>510592.43683288305</v>
      </c>
      <c r="M48" s="431">
        <v>206.75152024970365</v>
      </c>
      <c r="N48" s="485">
        <f t="shared" si="5"/>
        <v>444515.76853686286</v>
      </c>
      <c r="O48" s="431">
        <v>319.52507674954205</v>
      </c>
      <c r="P48" s="471">
        <f t="shared" si="0"/>
        <v>686978.91501151538</v>
      </c>
      <c r="Q48" s="436">
        <v>136.06325794352867</v>
      </c>
      <c r="R48" s="471">
        <f t="shared" si="6"/>
        <v>292536.00457858661</v>
      </c>
      <c r="S48" s="436">
        <v>261.62790697674421</v>
      </c>
      <c r="T48" s="492">
        <f t="shared" si="7"/>
        <v>562500.00000000012</v>
      </c>
      <c r="U48" s="436">
        <v>213.06374003126101</v>
      </c>
      <c r="V48" s="542">
        <f t="shared" si="8"/>
        <v>458087.04106721119</v>
      </c>
      <c r="W48" s="410" t="e">
        <f>+#REF!/D48</f>
        <v>#REF!</v>
      </c>
    </row>
    <row r="49" spans="1:23" ht="15.75" hidden="1" x14ac:dyDescent="0.25">
      <c r="A49" s="406">
        <f t="shared" si="9"/>
        <v>100047</v>
      </c>
      <c r="B49" s="407" t="s">
        <v>119</v>
      </c>
      <c r="C49" s="408" t="s">
        <v>108</v>
      </c>
      <c r="D49" s="409">
        <v>4080</v>
      </c>
      <c r="E49" s="412">
        <f t="shared" si="1"/>
        <v>0.4</v>
      </c>
      <c r="F49" s="510"/>
      <c r="G49" s="541">
        <v>131.54467582175158</v>
      </c>
      <c r="H49" s="518">
        <f t="shared" si="15"/>
        <v>536702.27735274646</v>
      </c>
      <c r="I49" s="436">
        <v>125.14520510609879</v>
      </c>
      <c r="J49" s="471">
        <f t="shared" si="3"/>
        <v>510592.43683288305</v>
      </c>
      <c r="K49" s="436">
        <v>125.14520510609879</v>
      </c>
      <c r="L49" s="478">
        <f t="shared" si="4"/>
        <v>510592.43683288305</v>
      </c>
      <c r="M49" s="431">
        <v>108.94994326883894</v>
      </c>
      <c r="N49" s="485">
        <f t="shared" si="5"/>
        <v>444515.76853686286</v>
      </c>
      <c r="O49" s="431">
        <v>168.37718505184199</v>
      </c>
      <c r="P49" s="471">
        <f t="shared" si="0"/>
        <v>686978.91501151538</v>
      </c>
      <c r="Q49" s="436">
        <v>71.700001122202607</v>
      </c>
      <c r="R49" s="471">
        <f t="shared" si="6"/>
        <v>292536.00457858661</v>
      </c>
      <c r="S49" s="436">
        <v>137.86764705882354</v>
      </c>
      <c r="T49" s="492">
        <f t="shared" si="7"/>
        <v>562500</v>
      </c>
      <c r="U49" s="436">
        <v>112.276235555689</v>
      </c>
      <c r="V49" s="542">
        <f t="shared" si="8"/>
        <v>458087.04106721113</v>
      </c>
      <c r="W49" s="410" t="e">
        <f>+#REF!/D49</f>
        <v>#REF!</v>
      </c>
    </row>
    <row r="50" spans="1:23" ht="45.75" hidden="1" thickBot="1" x14ac:dyDescent="0.3">
      <c r="A50" s="406">
        <f t="shared" si="9"/>
        <v>100048</v>
      </c>
      <c r="B50" s="407" t="s">
        <v>122</v>
      </c>
      <c r="C50" s="408" t="s">
        <v>108</v>
      </c>
      <c r="D50" s="409">
        <v>5560</v>
      </c>
      <c r="E50" s="412">
        <f t="shared" si="1"/>
        <v>0.4</v>
      </c>
      <c r="F50" s="511">
        <f>COUNT(E43:E50)</f>
        <v>8</v>
      </c>
      <c r="G50" s="543">
        <v>96.52918657423497</v>
      </c>
      <c r="H50" s="544">
        <f t="shared" si="15"/>
        <v>536702.27735274646</v>
      </c>
      <c r="I50" s="545">
        <v>91.83317209224515</v>
      </c>
      <c r="J50" s="546">
        <f t="shared" si="3"/>
        <v>510592.43683288305</v>
      </c>
      <c r="K50" s="545">
        <v>91.83317209224515</v>
      </c>
      <c r="L50" s="547">
        <f t="shared" si="4"/>
        <v>510592.43683288305</v>
      </c>
      <c r="M50" s="548">
        <v>79.948879233248718</v>
      </c>
      <c r="N50" s="549">
        <f t="shared" si="5"/>
        <v>444515.76853686286</v>
      </c>
      <c r="O50" s="548">
        <v>123.55735881502075</v>
      </c>
      <c r="P50" s="546">
        <f t="shared" si="0"/>
        <v>686978.91501151538</v>
      </c>
      <c r="Q50" s="545">
        <v>52.614389312695437</v>
      </c>
      <c r="R50" s="546">
        <f t="shared" si="6"/>
        <v>292536.00457858661</v>
      </c>
      <c r="S50" s="545">
        <v>101.16906474820144</v>
      </c>
      <c r="T50" s="550">
        <f t="shared" si="7"/>
        <v>562500</v>
      </c>
      <c r="U50" s="545">
        <v>82.389755587627903</v>
      </c>
      <c r="V50" s="551">
        <f t="shared" si="8"/>
        <v>458087.04106721113</v>
      </c>
      <c r="W50" s="410" t="e">
        <f>+#REF!/D50</f>
        <v>#REF!</v>
      </c>
    </row>
    <row r="51" spans="1:23" x14ac:dyDescent="0.25">
      <c r="H51" s="437"/>
      <c r="W51" s="410"/>
    </row>
    <row r="52" spans="1:23" x14ac:dyDescent="0.25">
      <c r="W52" s="410" t="s">
        <v>21</v>
      </c>
    </row>
    <row r="53" spans="1:23" x14ac:dyDescent="0.25">
      <c r="W53" s="410" t="s">
        <v>21</v>
      </c>
    </row>
  </sheetData>
  <autoFilter ref="A2:V50">
    <filterColumn colId="1">
      <filters>
        <filter val="BONBOMBUM"/>
      </filters>
    </filterColumn>
  </autoFilter>
  <mergeCells count="1">
    <mergeCell ref="A1:X1"/>
  </mergeCell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>
      <selection activeCell="C36" sqref="C36"/>
    </sheetView>
  </sheetViews>
  <sheetFormatPr baseColWidth="10" defaultRowHeight="15" x14ac:dyDescent="0.25"/>
  <cols>
    <col min="1" max="1" width="25.5703125" style="1" customWidth="1"/>
    <col min="2" max="2" width="25.140625" style="1" customWidth="1"/>
    <col min="3" max="3" width="29.42578125" style="1" customWidth="1"/>
    <col min="4" max="4" width="25.85546875" style="1" hidden="1" customWidth="1"/>
    <col min="5" max="5" width="27.28515625" style="1" hidden="1" customWidth="1"/>
    <col min="6" max="6" width="17.28515625" style="1" hidden="1" customWidth="1"/>
    <col min="7" max="7" width="18.7109375" style="1" hidden="1" customWidth="1"/>
    <col min="8" max="8" width="28" style="1" hidden="1" customWidth="1"/>
    <col min="9" max="9" width="16" style="364" hidden="1" customWidth="1"/>
    <col min="10" max="10" width="8.5703125" style="364" hidden="1" customWidth="1"/>
    <col min="11" max="11" width="18.42578125" style="364" hidden="1" customWidth="1"/>
    <col min="12" max="12" width="0" style="1" hidden="1" customWidth="1"/>
    <col min="13" max="13" width="11.42578125" style="1"/>
    <col min="14" max="14" width="15.140625" style="1" customWidth="1"/>
    <col min="15" max="21" width="3.5703125" style="1" customWidth="1"/>
    <col min="22" max="16384" width="11.42578125" style="1"/>
  </cols>
  <sheetData>
    <row r="1" spans="1:21" ht="18.75" x14ac:dyDescent="0.3">
      <c r="A1" s="843" t="s">
        <v>525</v>
      </c>
      <c r="B1" s="843"/>
      <c r="C1" s="843"/>
      <c r="D1" s="843"/>
      <c r="E1" s="843"/>
      <c r="F1" s="843"/>
      <c r="G1" s="843"/>
      <c r="H1" s="843"/>
      <c r="I1" s="843"/>
    </row>
    <row r="3" spans="1:21" s="557" customFormat="1" ht="141" customHeight="1" x14ac:dyDescent="0.25">
      <c r="A3" s="5" t="s">
        <v>166</v>
      </c>
      <c r="B3" s="5" t="s">
        <v>292</v>
      </c>
      <c r="C3" s="5" t="s">
        <v>532</v>
      </c>
      <c r="D3" s="5" t="s">
        <v>297</v>
      </c>
      <c r="E3" s="5" t="s">
        <v>299</v>
      </c>
      <c r="F3" s="5" t="s">
        <v>293</v>
      </c>
      <c r="G3" s="5" t="s">
        <v>298</v>
      </c>
      <c r="H3" s="5" t="s">
        <v>300</v>
      </c>
      <c r="I3" s="835" t="s">
        <v>529</v>
      </c>
      <c r="J3" s="835"/>
      <c r="K3" s="835"/>
      <c r="L3" s="5" t="s">
        <v>318</v>
      </c>
      <c r="M3" s="5" t="s">
        <v>531</v>
      </c>
      <c r="N3" s="5" t="s">
        <v>322</v>
      </c>
      <c r="O3" s="836" t="s">
        <v>320</v>
      </c>
      <c r="P3" s="836"/>
      <c r="Q3" s="836"/>
      <c r="R3" s="836"/>
      <c r="S3" s="836"/>
      <c r="T3" s="836"/>
      <c r="U3" s="836"/>
    </row>
    <row r="4" spans="1:21" s="704" customFormat="1" ht="23.25" customHeight="1" thickBot="1" x14ac:dyDescent="0.25">
      <c r="I4" s="705" t="s">
        <v>165</v>
      </c>
      <c r="J4" s="705" t="s">
        <v>153</v>
      </c>
      <c r="K4" s="705" t="s">
        <v>129</v>
      </c>
      <c r="L4" s="706"/>
      <c r="M4" s="763"/>
    </row>
    <row r="5" spans="1:21" s="587" customFormat="1" ht="19.5" customHeight="1" thickBot="1" x14ac:dyDescent="0.3">
      <c r="A5" s="823" t="s">
        <v>309</v>
      </c>
      <c r="B5" s="823" t="s">
        <v>308</v>
      </c>
      <c r="C5" s="687" t="s">
        <v>260</v>
      </c>
      <c r="D5" s="695">
        <v>4</v>
      </c>
      <c r="E5" s="666">
        <v>2</v>
      </c>
      <c r="F5" s="666">
        <v>2</v>
      </c>
      <c r="G5" s="667">
        <f>+'4-ENDEUDAMIENTO RED LARGA'!$Q$53*'3-ZONIFICACION DE CARGA'!D5</f>
        <v>54.331441413996465</v>
      </c>
      <c r="H5" s="667">
        <f>+'4-ENDEUDAMIENTO RED MEDIA'!$Q$53*'3-ZONIFICACION DE CARGA'!E5</f>
        <v>205.03947915942953</v>
      </c>
      <c r="I5" s="668">
        <f>+'1-CLIENTE-RED-ENDEUDAMIEN'!$K$180*'4-ENDEUDAMIENTO RED CORTA'!$R$53</f>
        <v>1.8962278489829312</v>
      </c>
      <c r="J5" s="668">
        <f>+'1-CLIENTE-RED-ENDEUDAMIEN'!$K$132*'4-ENDEUDAMIENTO RED CORTA'!$R$161</f>
        <v>2.099467373764289</v>
      </c>
      <c r="K5" s="669">
        <v>0</v>
      </c>
      <c r="L5" s="702"/>
      <c r="M5" s="764"/>
      <c r="N5" s="713"/>
      <c r="O5" s="714" t="s">
        <v>323</v>
      </c>
      <c r="P5" s="715" t="s">
        <v>324</v>
      </c>
      <c r="Q5" s="715" t="s">
        <v>324</v>
      </c>
      <c r="R5" s="715" t="s">
        <v>325</v>
      </c>
      <c r="S5" s="715" t="s">
        <v>326</v>
      </c>
      <c r="T5" s="715" t="s">
        <v>327</v>
      </c>
      <c r="U5" s="716" t="s">
        <v>328</v>
      </c>
    </row>
    <row r="6" spans="1:21" s="587" customFormat="1" x14ac:dyDescent="0.25">
      <c r="A6" s="824"/>
      <c r="B6" s="824"/>
      <c r="C6" s="688" t="s">
        <v>258</v>
      </c>
      <c r="D6" s="696">
        <v>4</v>
      </c>
      <c r="E6" s="583">
        <v>2</v>
      </c>
      <c r="F6" s="583">
        <v>2</v>
      </c>
      <c r="G6" s="670">
        <f>+'4-ENDEUDAMIENTO RED LARGA'!$Q$53*'3-ZONIFICACION DE CARGA'!D6</f>
        <v>54.331441413996465</v>
      </c>
      <c r="H6" s="670">
        <f>+'4-ENDEUDAMIENTO RED MEDIA'!$Q$53*'3-ZONIFICACION DE CARGA'!E6</f>
        <v>205.03947915942953</v>
      </c>
      <c r="I6" s="641">
        <f>+'1-CLIENTE-RED-ENDEUDAMIEN'!$K$180*'4-ENDEUDAMIENTO RED CORTA'!$R$53</f>
        <v>1.8962278489829312</v>
      </c>
      <c r="J6" s="641">
        <f>+'1-CLIENTE-RED-ENDEUDAMIEN'!$K$132*'4-ENDEUDAMIENTO RED CORTA'!$R$161</f>
        <v>2.099467373764289</v>
      </c>
      <c r="K6" s="671">
        <v>0</v>
      </c>
      <c r="L6" s="840">
        <f>SUM(G9:K9)</f>
        <v>908.301914695498</v>
      </c>
      <c r="M6" s="759"/>
      <c r="N6" s="748">
        <f>+L6/45</f>
        <v>20.184486993233289</v>
      </c>
      <c r="O6" s="717" t="s">
        <v>186</v>
      </c>
      <c r="P6" s="718" t="s">
        <v>21</v>
      </c>
      <c r="Q6" s="718"/>
      <c r="R6" s="718"/>
      <c r="S6" s="718"/>
      <c r="T6" s="718"/>
      <c r="U6" s="719"/>
    </row>
    <row r="7" spans="1:21" s="587" customFormat="1" x14ac:dyDescent="0.25">
      <c r="A7" s="824"/>
      <c r="B7" s="824"/>
      <c r="C7" s="688" t="s">
        <v>261</v>
      </c>
      <c r="D7" s="696">
        <v>1</v>
      </c>
      <c r="E7" s="583">
        <v>1</v>
      </c>
      <c r="F7" s="583">
        <v>1</v>
      </c>
      <c r="G7" s="670">
        <f>+'4-ENDEUDAMIENTO RED LARGA'!$Q$53*'3-ZONIFICACION DE CARGA'!D7</f>
        <v>13.582860353499116</v>
      </c>
      <c r="H7" s="670">
        <f>+'4-ENDEUDAMIENTO RED MEDIA'!$Q$53*'3-ZONIFICACION DE CARGA'!E7</f>
        <v>102.51973957971477</v>
      </c>
      <c r="I7" s="641">
        <v>0</v>
      </c>
      <c r="J7" s="641">
        <f>+'1-CLIENTE-RED-ENDEUDAMIEN'!$K$132*'4-ENDEUDAMIENTO RED CORTA'!$R$161</f>
        <v>2.099467373764289</v>
      </c>
      <c r="K7" s="671">
        <v>0</v>
      </c>
      <c r="L7" s="841"/>
      <c r="M7" s="760"/>
      <c r="N7" s="749"/>
      <c r="O7" s="717" t="s">
        <v>186</v>
      </c>
      <c r="P7" s="718" t="s">
        <v>21</v>
      </c>
      <c r="Q7" s="718" t="s">
        <v>21</v>
      </c>
      <c r="R7" s="718" t="s">
        <v>21</v>
      </c>
      <c r="S7" s="718"/>
      <c r="T7" s="718" t="s">
        <v>21</v>
      </c>
      <c r="U7" s="719"/>
    </row>
    <row r="8" spans="1:21" s="587" customFormat="1" ht="15.75" thickBot="1" x14ac:dyDescent="0.3">
      <c r="A8" s="825"/>
      <c r="B8" s="825"/>
      <c r="C8" s="689" t="s">
        <v>257</v>
      </c>
      <c r="D8" s="697">
        <v>4</v>
      </c>
      <c r="E8" s="698">
        <v>2</v>
      </c>
      <c r="F8" s="698">
        <v>2</v>
      </c>
      <c r="G8" s="699">
        <f>+'4-ENDEUDAMIENTO RED LARGA'!$Q$53*'3-ZONIFICACION DE CARGA'!D8</f>
        <v>54.331441413996465</v>
      </c>
      <c r="H8" s="699">
        <f>+'4-ENDEUDAMIENTO RED MEDIA'!$Q$53*'3-ZONIFICACION DE CARGA'!E8</f>
        <v>205.03947915942953</v>
      </c>
      <c r="I8" s="700">
        <f>+'1-CLIENTE-RED-ENDEUDAMIEN'!$K$180*'4-ENDEUDAMIENTO RED CORTA'!$R$53</f>
        <v>1.8962278489829312</v>
      </c>
      <c r="J8" s="700">
        <f>+'1-CLIENTE-RED-ENDEUDAMIEN'!$K$132*'4-ENDEUDAMIENTO RED CORTA'!$R$161</f>
        <v>2.099467373764289</v>
      </c>
      <c r="K8" s="701">
        <v>0</v>
      </c>
      <c r="L8" s="841"/>
      <c r="M8" s="760"/>
      <c r="N8" s="749"/>
      <c r="O8" s="717" t="s">
        <v>186</v>
      </c>
      <c r="P8" s="718"/>
      <c r="Q8" s="718" t="s">
        <v>21</v>
      </c>
      <c r="R8" s="718" t="s">
        <v>21</v>
      </c>
      <c r="S8" s="718"/>
      <c r="T8" s="718"/>
      <c r="U8" s="719"/>
    </row>
    <row r="9" spans="1:21" s="587" customFormat="1" ht="15.75" thickBot="1" x14ac:dyDescent="0.3">
      <c r="A9" s="821" t="s">
        <v>302</v>
      </c>
      <c r="B9" s="822"/>
      <c r="C9" s="690">
        <v>4</v>
      </c>
      <c r="D9" s="681">
        <f>SUM(D5:D8)</f>
        <v>13</v>
      </c>
      <c r="E9" s="682">
        <f>SUM(E5:E8)</f>
        <v>7</v>
      </c>
      <c r="F9" s="682">
        <f>SUM(F5:F8)</f>
        <v>7</v>
      </c>
      <c r="G9" s="683">
        <f>SUM(G5:G8)</f>
        <v>176.57718459548852</v>
      </c>
      <c r="H9" s="683">
        <f t="shared" ref="H9:K9" si="0">SUM(H5:H8)</f>
        <v>717.63817705800341</v>
      </c>
      <c r="I9" s="683">
        <f t="shared" si="0"/>
        <v>5.6886835469487931</v>
      </c>
      <c r="J9" s="683">
        <f t="shared" si="0"/>
        <v>8.3978694950571562</v>
      </c>
      <c r="K9" s="692">
        <f t="shared" si="0"/>
        <v>0</v>
      </c>
      <c r="L9" s="839"/>
      <c r="M9" s="758">
        <f>+'3-ZONIFICACION DE CARGA'!D9+'3-ZONIFICACION DE CARGA'!E9+'3-ZONIFICACION DE CARGA'!F9</f>
        <v>27</v>
      </c>
      <c r="N9" s="750"/>
      <c r="O9" s="717" t="s">
        <v>186</v>
      </c>
      <c r="P9" s="718"/>
      <c r="Q9" s="718" t="s">
        <v>21</v>
      </c>
      <c r="R9" s="718" t="s">
        <v>21</v>
      </c>
      <c r="S9" s="718" t="s">
        <v>21</v>
      </c>
      <c r="T9" s="718" t="s">
        <v>21</v>
      </c>
      <c r="U9" s="719"/>
    </row>
    <row r="10" spans="1:21" s="587" customFormat="1" x14ac:dyDescent="0.25">
      <c r="A10" s="826" t="s">
        <v>310</v>
      </c>
      <c r="B10" s="829" t="s">
        <v>314</v>
      </c>
      <c r="C10" s="687" t="s">
        <v>248</v>
      </c>
      <c r="D10" s="679">
        <v>6</v>
      </c>
      <c r="E10" s="672">
        <v>2</v>
      </c>
      <c r="F10" s="672">
        <v>3</v>
      </c>
      <c r="G10" s="673">
        <f>+'4-ENDEUDAMIENTO RED LARGA'!$Q$53*'3-ZONIFICACION DE CARGA'!D10</f>
        <v>81.497162120994702</v>
      </c>
      <c r="H10" s="673">
        <f>+'4-ENDEUDAMIENTO RED MEDIA'!$Q$53*'3-ZONIFICACION DE CARGA'!E10</f>
        <v>205.03947915942953</v>
      </c>
      <c r="I10" s="674">
        <f>+'1-CLIENTE-RED-ENDEUDAMIEN'!$K$180*'4-ENDEUDAMIENTO RED CORTA'!$R$53</f>
        <v>1.8962278489829312</v>
      </c>
      <c r="J10" s="674">
        <f>+'1-CLIENTE-RED-ENDEUDAMIEN'!$K$132*'4-ENDEUDAMIENTO RED CORTA'!$R$161</f>
        <v>2.099467373764289</v>
      </c>
      <c r="K10" s="693">
        <f>+'1-CLIENTE-RED-ENDEUDAMIEN'!$K$136*'4-ENDEUDAMIENTO RED CORTA'!$V$215</f>
        <v>73.907506026170822</v>
      </c>
      <c r="L10" s="837">
        <f>SUM(G13:K13)</f>
        <v>1241.1345396403685</v>
      </c>
      <c r="M10" s="756"/>
      <c r="N10" s="748">
        <f>+L10/45</f>
        <v>27.580767547563745</v>
      </c>
      <c r="O10" s="717" t="s">
        <v>21</v>
      </c>
      <c r="P10" s="718" t="s">
        <v>186</v>
      </c>
      <c r="Q10" s="718" t="s">
        <v>21</v>
      </c>
      <c r="R10" s="718"/>
      <c r="S10" s="718" t="s">
        <v>21</v>
      </c>
      <c r="T10" s="718" t="s">
        <v>21</v>
      </c>
      <c r="U10" s="719"/>
    </row>
    <row r="11" spans="1:21" s="587" customFormat="1" x14ac:dyDescent="0.25">
      <c r="A11" s="827"/>
      <c r="B11" s="830"/>
      <c r="C11" s="688" t="s">
        <v>247</v>
      </c>
      <c r="D11" s="675">
        <v>5</v>
      </c>
      <c r="E11" s="583">
        <v>2</v>
      </c>
      <c r="F11" s="583">
        <v>4</v>
      </c>
      <c r="G11" s="670">
        <f>+'4-ENDEUDAMIENTO RED LARGA'!$Q$53*'3-ZONIFICACION DE CARGA'!D11</f>
        <v>67.914301767495587</v>
      </c>
      <c r="H11" s="670">
        <f>+'4-ENDEUDAMIENTO RED MEDIA'!$Q$53*'3-ZONIFICACION DE CARGA'!E11</f>
        <v>205.03947915942953</v>
      </c>
      <c r="I11" s="641">
        <f>+'1-CLIENTE-RED-ENDEUDAMIEN'!$K$180*'4-ENDEUDAMIENTO RED CORTA'!$R$53</f>
        <v>1.8962278489829312</v>
      </c>
      <c r="J11" s="641">
        <f>+'1-CLIENTE-RED-ENDEUDAMIEN'!$K$132*'4-ENDEUDAMIENTO RED CORTA'!$R$161</f>
        <v>2.099467373764289</v>
      </c>
      <c r="K11" s="691">
        <f>+'1-CLIENTE-RED-ENDEUDAMIEN'!K156*'4-ENDEUDAMIENTO RED CORTA'!V215</f>
        <v>147.81501205234164</v>
      </c>
      <c r="L11" s="838"/>
      <c r="M11" s="757"/>
      <c r="N11" s="749"/>
      <c r="O11" s="717" t="s">
        <v>21</v>
      </c>
      <c r="P11" s="718" t="s">
        <v>186</v>
      </c>
      <c r="Q11" s="718"/>
      <c r="R11" s="718"/>
      <c r="S11" s="718" t="s">
        <v>21</v>
      </c>
      <c r="T11" s="718" t="s">
        <v>21</v>
      </c>
      <c r="U11" s="719"/>
    </row>
    <row r="12" spans="1:21" s="587" customFormat="1" ht="15.75" thickBot="1" x14ac:dyDescent="0.3">
      <c r="A12" s="828"/>
      <c r="B12" s="831"/>
      <c r="C12" s="689" t="s">
        <v>246</v>
      </c>
      <c r="D12" s="675">
        <v>7</v>
      </c>
      <c r="E12" s="583">
        <v>2</v>
      </c>
      <c r="F12" s="583">
        <v>4</v>
      </c>
      <c r="G12" s="670">
        <f>+'4-ENDEUDAMIENTO RED LARGA'!$Q$53*'3-ZONIFICACION DE CARGA'!D12</f>
        <v>95.080022474493816</v>
      </c>
      <c r="H12" s="670">
        <f>+'4-ENDEUDAMIENTO RED MEDIA'!$Q$53*'3-ZONIFICACION DE CARGA'!E12</f>
        <v>205.03947915942953</v>
      </c>
      <c r="I12" s="641">
        <f>+'1-CLIENTE-RED-ENDEUDAMIEN'!$K$180*'4-ENDEUDAMIENTO RED CORTA'!$R$53</f>
        <v>1.8962278489829312</v>
      </c>
      <c r="J12" s="641">
        <f>+'1-CLIENTE-RED-ENDEUDAMIEN'!$K$132*'4-ENDEUDAMIENTO RED CORTA'!$R$161</f>
        <v>2.099467373764289</v>
      </c>
      <c r="K12" s="691">
        <f>+'1-CLIENTE-RED-ENDEUDAMIEN'!K152*'4-ENDEUDAMIENTO RED CORTA'!$V$215</f>
        <v>147.81501205234164</v>
      </c>
      <c r="L12" s="838"/>
      <c r="M12" s="757"/>
      <c r="N12" s="749"/>
      <c r="O12" s="717" t="s">
        <v>21</v>
      </c>
      <c r="P12" s="718" t="s">
        <v>186</v>
      </c>
      <c r="Q12" s="718"/>
      <c r="R12" s="718"/>
      <c r="S12" s="718" t="s">
        <v>21</v>
      </c>
      <c r="T12" s="718" t="s">
        <v>21</v>
      </c>
      <c r="U12" s="719" t="s">
        <v>21</v>
      </c>
    </row>
    <row r="13" spans="1:21" s="587" customFormat="1" ht="15.75" thickBot="1" x14ac:dyDescent="0.3">
      <c r="A13" s="821" t="s">
        <v>303</v>
      </c>
      <c r="B13" s="822"/>
      <c r="C13" s="686">
        <v>3</v>
      </c>
      <c r="D13" s="681">
        <f>SUM(D10:D12)</f>
        <v>18</v>
      </c>
      <c r="E13" s="684">
        <f t="shared" ref="E13:K13" si="1">SUM(E10:E12)</f>
        <v>6</v>
      </c>
      <c r="F13" s="684">
        <f t="shared" si="1"/>
        <v>11</v>
      </c>
      <c r="G13" s="684">
        <f t="shared" si="1"/>
        <v>244.49148636298412</v>
      </c>
      <c r="H13" s="684">
        <f t="shared" si="1"/>
        <v>615.11843747828857</v>
      </c>
      <c r="I13" s="684">
        <f t="shared" si="1"/>
        <v>5.6886835469487931</v>
      </c>
      <c r="J13" s="684">
        <f t="shared" si="1"/>
        <v>6.2984021212928667</v>
      </c>
      <c r="K13" s="694">
        <f t="shared" si="1"/>
        <v>369.53753013085407</v>
      </c>
      <c r="L13" s="839"/>
      <c r="M13" s="758">
        <f>+'3-ZONIFICACION DE CARGA'!D13+'3-ZONIFICACION DE CARGA'!E13+'3-ZONIFICACION DE CARGA'!F13</f>
        <v>35</v>
      </c>
      <c r="N13" s="750"/>
      <c r="O13" s="720" t="s">
        <v>21</v>
      </c>
      <c r="P13" s="721" t="s">
        <v>186</v>
      </c>
      <c r="Q13" s="721"/>
      <c r="R13" s="721"/>
      <c r="S13" s="721" t="s">
        <v>21</v>
      </c>
      <c r="T13" s="721" t="s">
        <v>21</v>
      </c>
      <c r="U13" s="722" t="s">
        <v>21</v>
      </c>
    </row>
    <row r="14" spans="1:21" s="587" customFormat="1" ht="15.75" thickBot="1" x14ac:dyDescent="0.3">
      <c r="A14" s="826" t="s">
        <v>533</v>
      </c>
      <c r="B14" s="826" t="s">
        <v>313</v>
      </c>
      <c r="C14" s="676" t="s">
        <v>253</v>
      </c>
      <c r="D14" s="675">
        <v>6</v>
      </c>
      <c r="E14" s="583">
        <v>1</v>
      </c>
      <c r="F14" s="583">
        <v>2</v>
      </c>
      <c r="G14" s="670">
        <f>+'4-ENDEUDAMIENTO RED LARGA'!$Q$53*'3-ZONIFICACION DE CARGA'!D14</f>
        <v>81.497162120994702</v>
      </c>
      <c r="H14" s="670">
        <f>+'4-ENDEUDAMIENTO RED MEDIA'!$Q$53*'3-ZONIFICACION DE CARGA'!E14</f>
        <v>102.51973957971477</v>
      </c>
      <c r="I14" s="641">
        <v>0</v>
      </c>
      <c r="J14" s="641">
        <f>+'1-CLIENTE-RED-ENDEUDAMIEN'!$K$132*'4-ENDEUDAMIENTO RED CORTA'!$R$161</f>
        <v>2.099467373764289</v>
      </c>
      <c r="K14" s="691">
        <f>+'1-CLIENTE-RED-ENDEUDAMIEN'!$K$136*'4-ENDEUDAMIENTO RED CORTA'!$V$215</f>
        <v>73.907506026170822</v>
      </c>
      <c r="L14" s="837">
        <f>SUM(G18:K18)</f>
        <v>957.19114804020126</v>
      </c>
      <c r="M14" s="756"/>
      <c r="N14" s="748">
        <f>+L14/45</f>
        <v>21.270914400893361</v>
      </c>
      <c r="O14" s="720" t="s">
        <v>21</v>
      </c>
      <c r="P14" s="721" t="s">
        <v>21</v>
      </c>
      <c r="Q14" s="721" t="s">
        <v>186</v>
      </c>
      <c r="R14" s="721"/>
      <c r="S14" s="721" t="s">
        <v>21</v>
      </c>
      <c r="T14" s="721" t="s">
        <v>21</v>
      </c>
      <c r="U14" s="722" t="s">
        <v>21</v>
      </c>
    </row>
    <row r="15" spans="1:21" s="587" customFormat="1" ht="15.75" thickBot="1" x14ac:dyDescent="0.3">
      <c r="A15" s="827"/>
      <c r="B15" s="827"/>
      <c r="C15" s="677" t="s">
        <v>255</v>
      </c>
      <c r="D15" s="675">
        <v>4</v>
      </c>
      <c r="E15" s="583">
        <v>2</v>
      </c>
      <c r="F15" s="583">
        <v>1</v>
      </c>
      <c r="G15" s="670">
        <f>+'4-ENDEUDAMIENTO RED LARGA'!$Q$53*'3-ZONIFICACION DE CARGA'!D15</f>
        <v>54.331441413996465</v>
      </c>
      <c r="H15" s="670">
        <f>+'4-ENDEUDAMIENTO RED MEDIA'!$Q$53*'3-ZONIFICACION DE CARGA'!E15</f>
        <v>205.03947915942953</v>
      </c>
      <c r="I15" s="641">
        <f>+'1-CLIENTE-RED-ENDEUDAMIEN'!$K$180*'4-ENDEUDAMIENTO RED CORTA'!$R$53</f>
        <v>1.8962278489829312</v>
      </c>
      <c r="J15" s="641">
        <v>0</v>
      </c>
      <c r="K15" s="691">
        <v>0</v>
      </c>
      <c r="L15" s="838"/>
      <c r="M15" s="757"/>
      <c r="N15" s="749"/>
      <c r="O15" s="720" t="s">
        <v>21</v>
      </c>
      <c r="P15" s="721" t="s">
        <v>21</v>
      </c>
      <c r="Q15" s="721" t="s">
        <v>186</v>
      </c>
      <c r="R15" s="721"/>
      <c r="S15" s="721" t="s">
        <v>21</v>
      </c>
      <c r="T15" s="721" t="s">
        <v>21</v>
      </c>
      <c r="U15" s="722" t="s">
        <v>21</v>
      </c>
    </row>
    <row r="16" spans="1:21" s="587" customFormat="1" ht="15.75" thickBot="1" x14ac:dyDescent="0.3">
      <c r="A16" s="827"/>
      <c r="B16" s="827"/>
      <c r="C16" s="677" t="s">
        <v>254</v>
      </c>
      <c r="D16" s="675">
        <v>4</v>
      </c>
      <c r="E16" s="583">
        <v>1</v>
      </c>
      <c r="F16" s="583">
        <v>1</v>
      </c>
      <c r="G16" s="670">
        <f>+'4-ENDEUDAMIENTO RED LARGA'!$Q$53*'3-ZONIFICACION DE CARGA'!D16</f>
        <v>54.331441413996465</v>
      </c>
      <c r="H16" s="670">
        <f>+'4-ENDEUDAMIENTO RED MEDIA'!$Q$53*'3-ZONIFICACION DE CARGA'!E16</f>
        <v>102.51973957971477</v>
      </c>
      <c r="I16" s="641">
        <v>0</v>
      </c>
      <c r="J16" s="641">
        <f>+'1-CLIENTE-RED-ENDEUDAMIEN'!$K$132*'4-ENDEUDAMIENTO RED CORTA'!$R$161</f>
        <v>2.099467373764289</v>
      </c>
      <c r="K16" s="691">
        <v>0</v>
      </c>
      <c r="L16" s="838"/>
      <c r="M16" s="757"/>
      <c r="N16" s="749"/>
      <c r="O16" s="720" t="s">
        <v>21</v>
      </c>
      <c r="P16" s="721" t="s">
        <v>21</v>
      </c>
      <c r="Q16" s="721" t="s">
        <v>186</v>
      </c>
      <c r="R16" s="721"/>
      <c r="S16" s="721" t="s">
        <v>21</v>
      </c>
      <c r="T16" s="721" t="s">
        <v>21</v>
      </c>
      <c r="U16" s="722" t="s">
        <v>21</v>
      </c>
    </row>
    <row r="17" spans="1:21" s="587" customFormat="1" ht="15.75" thickBot="1" x14ac:dyDescent="0.3">
      <c r="A17" s="828"/>
      <c r="B17" s="828"/>
      <c r="C17" s="678" t="s">
        <v>249</v>
      </c>
      <c r="D17" s="675">
        <v>5</v>
      </c>
      <c r="E17" s="583">
        <v>2</v>
      </c>
      <c r="F17" s="583">
        <v>2</v>
      </c>
      <c r="G17" s="670">
        <f>+'4-ENDEUDAMIENTO RED LARGA'!$Q$53*'3-ZONIFICACION DE CARGA'!D17</f>
        <v>67.914301767495587</v>
      </c>
      <c r="H17" s="670">
        <f>+'4-ENDEUDAMIENTO RED MEDIA'!$Q$53*'3-ZONIFICACION DE CARGA'!E17</f>
        <v>205.03947915942953</v>
      </c>
      <c r="I17" s="641">
        <f>+'1-CLIENTE-RED-ENDEUDAMIEN'!$K$180*'4-ENDEUDAMIENTO RED CORTA'!$R$53</f>
        <v>1.8962278489829312</v>
      </c>
      <c r="J17" s="641">
        <f>+'1-CLIENTE-RED-ENDEUDAMIEN'!$K$132*'4-ENDEUDAMIENTO RED CORTA'!$R$161</f>
        <v>2.099467373764289</v>
      </c>
      <c r="K17" s="691">
        <v>0</v>
      </c>
      <c r="L17" s="838"/>
      <c r="M17" s="757"/>
      <c r="N17" s="749"/>
      <c r="O17" s="720" t="s">
        <v>21</v>
      </c>
      <c r="P17" s="721" t="s">
        <v>321</v>
      </c>
      <c r="Q17" s="721" t="s">
        <v>186</v>
      </c>
      <c r="R17" s="721"/>
      <c r="S17" s="721" t="s">
        <v>21</v>
      </c>
      <c r="T17" s="721" t="s">
        <v>21</v>
      </c>
      <c r="U17" s="722" t="s">
        <v>21</v>
      </c>
    </row>
    <row r="18" spans="1:21" s="587" customFormat="1" ht="15.75" thickBot="1" x14ac:dyDescent="0.3">
      <c r="A18" s="821" t="s">
        <v>304</v>
      </c>
      <c r="B18" s="822"/>
      <c r="C18" s="680">
        <v>4</v>
      </c>
      <c r="D18" s="684">
        <f>SUM(D14:D17)</f>
        <v>19</v>
      </c>
      <c r="E18" s="684">
        <f t="shared" ref="E18:K18" si="2">SUM(E14:E17)</f>
        <v>6</v>
      </c>
      <c r="F18" s="684">
        <f t="shared" si="2"/>
        <v>6</v>
      </c>
      <c r="G18" s="684">
        <f t="shared" si="2"/>
        <v>258.07434671648321</v>
      </c>
      <c r="H18" s="684">
        <f t="shared" si="2"/>
        <v>615.11843747828857</v>
      </c>
      <c r="I18" s="684">
        <f t="shared" si="2"/>
        <v>3.7924556979658623</v>
      </c>
      <c r="J18" s="684">
        <f t="shared" si="2"/>
        <v>6.2984021212928667</v>
      </c>
      <c r="K18" s="694">
        <f t="shared" si="2"/>
        <v>73.907506026170822</v>
      </c>
      <c r="L18" s="839"/>
      <c r="M18" s="758">
        <f>+'3-ZONIFICACION DE CARGA'!D18+'3-ZONIFICACION DE CARGA'!E18+'3-ZONIFICACION DE CARGA'!F18</f>
        <v>31</v>
      </c>
      <c r="N18" s="750"/>
      <c r="O18" s="720" t="s">
        <v>21</v>
      </c>
      <c r="P18" s="721" t="s">
        <v>21</v>
      </c>
      <c r="Q18" s="721" t="s">
        <v>186</v>
      </c>
      <c r="R18" s="721"/>
      <c r="S18" s="721" t="s">
        <v>21</v>
      </c>
      <c r="T18" s="721" t="s">
        <v>21</v>
      </c>
      <c r="U18" s="722" t="s">
        <v>21</v>
      </c>
    </row>
    <row r="19" spans="1:21" s="587" customFormat="1" ht="15.75" thickBot="1" x14ac:dyDescent="0.3">
      <c r="A19" s="826" t="s">
        <v>312</v>
      </c>
      <c r="B19" s="826" t="s">
        <v>311</v>
      </c>
      <c r="C19" s="676" t="s">
        <v>296</v>
      </c>
      <c r="D19" s="675">
        <v>4</v>
      </c>
      <c r="E19" s="583">
        <v>2</v>
      </c>
      <c r="F19" s="583">
        <v>3</v>
      </c>
      <c r="G19" s="670">
        <f>+'4-ENDEUDAMIENTO RED LARGA'!$Q$53*'3-ZONIFICACION DE CARGA'!D19</f>
        <v>54.331441413996465</v>
      </c>
      <c r="H19" s="670">
        <f>+'4-ENDEUDAMIENTO RED MEDIA'!$Q$53*'3-ZONIFICACION DE CARGA'!E19</f>
        <v>205.03947915942953</v>
      </c>
      <c r="I19" s="641">
        <f>+'1-CLIENTE-RED-ENDEUDAMIEN'!$K$180*'4-ENDEUDAMIENTO RED CORTA'!$R$53</f>
        <v>1.8962278489829312</v>
      </c>
      <c r="J19" s="641">
        <f>+'1-CLIENTE-RED-ENDEUDAMIEN'!$K$132*'4-ENDEUDAMIENTO RED CORTA'!$R$161</f>
        <v>2.099467373764289</v>
      </c>
      <c r="K19" s="691">
        <v>0</v>
      </c>
      <c r="L19" s="837">
        <f>SUM(G22:K22)</f>
        <v>877.59021376818953</v>
      </c>
      <c r="M19" s="756"/>
      <c r="N19" s="748">
        <f>+L19/45</f>
        <v>19.502004750404211</v>
      </c>
      <c r="O19" s="720" t="s">
        <v>21</v>
      </c>
      <c r="P19" s="721" t="s">
        <v>21</v>
      </c>
      <c r="Q19" s="721"/>
      <c r="R19" s="721" t="s">
        <v>186</v>
      </c>
      <c r="S19" s="721" t="s">
        <v>21</v>
      </c>
      <c r="T19" s="721" t="s">
        <v>21</v>
      </c>
      <c r="U19" s="722" t="s">
        <v>21</v>
      </c>
    </row>
    <row r="20" spans="1:21" s="587" customFormat="1" ht="15.75" thickBot="1" x14ac:dyDescent="0.3">
      <c r="A20" s="827"/>
      <c r="B20" s="827"/>
      <c r="C20" s="677" t="s">
        <v>263</v>
      </c>
      <c r="D20" s="675">
        <v>3</v>
      </c>
      <c r="E20" s="583">
        <v>2</v>
      </c>
      <c r="F20" s="583">
        <v>2</v>
      </c>
      <c r="G20" s="670">
        <f>+'4-ENDEUDAMIENTO RED LARGA'!$Q$53*'3-ZONIFICACION DE CARGA'!D20</f>
        <v>40.748581060497351</v>
      </c>
      <c r="H20" s="670">
        <f>+'4-ENDEUDAMIENTO RED MEDIA'!$Q$53*'3-ZONIFICACION DE CARGA'!E20</f>
        <v>205.03947915942953</v>
      </c>
      <c r="I20" s="641">
        <f>+'1-CLIENTE-RED-ENDEUDAMIEN'!$K$180*'4-ENDEUDAMIENTO RED CORTA'!$R$53</f>
        <v>1.8962278489829312</v>
      </c>
      <c r="J20" s="641">
        <f>+'1-CLIENTE-RED-ENDEUDAMIEN'!$K$132*'4-ENDEUDAMIENTO RED CORTA'!$R$161</f>
        <v>2.099467373764289</v>
      </c>
      <c r="K20" s="691">
        <v>0</v>
      </c>
      <c r="L20" s="838"/>
      <c r="M20" s="757"/>
      <c r="N20" s="749"/>
      <c r="O20" s="720" t="s">
        <v>21</v>
      </c>
      <c r="P20" s="721" t="s">
        <v>21</v>
      </c>
      <c r="Q20" s="721"/>
      <c r="R20" s="721" t="s">
        <v>186</v>
      </c>
      <c r="S20" s="721" t="s">
        <v>21</v>
      </c>
      <c r="T20" s="721" t="s">
        <v>21</v>
      </c>
      <c r="U20" s="722" t="s">
        <v>21</v>
      </c>
    </row>
    <row r="21" spans="1:21" s="587" customFormat="1" ht="15.75" thickBot="1" x14ac:dyDescent="0.3">
      <c r="A21" s="828"/>
      <c r="B21" s="828"/>
      <c r="C21" s="678" t="s">
        <v>259</v>
      </c>
      <c r="D21" s="675">
        <v>6</v>
      </c>
      <c r="E21" s="583">
        <v>2</v>
      </c>
      <c r="F21" s="583">
        <v>3</v>
      </c>
      <c r="G21" s="670">
        <f>+'4-ENDEUDAMIENTO RED LARGA'!$Q$53*'3-ZONIFICACION DE CARGA'!D21</f>
        <v>81.497162120994702</v>
      </c>
      <c r="H21" s="670">
        <f>+'4-ENDEUDAMIENTO RED MEDIA'!$Q$53*'3-ZONIFICACION DE CARGA'!E21</f>
        <v>205.03947915942953</v>
      </c>
      <c r="I21" s="641">
        <f>+'1-CLIENTE-RED-ENDEUDAMIEN'!$K$180*'4-ENDEUDAMIENTO RED CORTA'!$R$53</f>
        <v>1.8962278489829312</v>
      </c>
      <c r="J21" s="641">
        <f>+'1-CLIENTE-RED-ENDEUDAMIEN'!$K$132*'4-ENDEUDAMIENTO RED CORTA'!$R$161</f>
        <v>2.099467373764289</v>
      </c>
      <c r="K21" s="691">
        <f>+'1-CLIENTE-RED-ENDEUDAMIEN'!$K$136*'4-ENDEUDAMIENTO RED CORTA'!$V$215</f>
        <v>73.907506026170822</v>
      </c>
      <c r="L21" s="838"/>
      <c r="M21" s="757"/>
      <c r="N21" s="749"/>
      <c r="O21" s="720" t="s">
        <v>21</v>
      </c>
      <c r="P21" s="721" t="s">
        <v>21</v>
      </c>
      <c r="Q21" s="721"/>
      <c r="R21" s="721" t="s">
        <v>186</v>
      </c>
      <c r="S21" s="721" t="s">
        <v>21</v>
      </c>
      <c r="T21" s="721" t="s">
        <v>21</v>
      </c>
      <c r="U21" s="722" t="s">
        <v>21</v>
      </c>
    </row>
    <row r="22" spans="1:21" s="587" customFormat="1" ht="15.75" thickBot="1" x14ac:dyDescent="0.3">
      <c r="A22" s="821" t="s">
        <v>305</v>
      </c>
      <c r="B22" s="822"/>
      <c r="C22" s="680">
        <v>3</v>
      </c>
      <c r="D22" s="684">
        <f>SUM(D19:D21)</f>
        <v>13</v>
      </c>
      <c r="E22" s="684">
        <f t="shared" ref="E22:K22" si="3">SUM(E19:E21)</f>
        <v>6</v>
      </c>
      <c r="F22" s="684">
        <f t="shared" si="3"/>
        <v>8</v>
      </c>
      <c r="G22" s="684">
        <f t="shared" si="3"/>
        <v>176.57718459548852</v>
      </c>
      <c r="H22" s="684">
        <f t="shared" si="3"/>
        <v>615.11843747828857</v>
      </c>
      <c r="I22" s="684">
        <f t="shared" si="3"/>
        <v>5.6886835469487931</v>
      </c>
      <c r="J22" s="684">
        <f t="shared" si="3"/>
        <v>6.2984021212928667</v>
      </c>
      <c r="K22" s="694">
        <f t="shared" si="3"/>
        <v>73.907506026170822</v>
      </c>
      <c r="L22" s="839"/>
      <c r="M22" s="758">
        <f>+'3-ZONIFICACION DE CARGA'!D22+'3-ZONIFICACION DE CARGA'!E22+'3-ZONIFICACION DE CARGA'!F22</f>
        <v>27</v>
      </c>
      <c r="N22" s="750"/>
      <c r="O22" s="720" t="s">
        <v>21</v>
      </c>
      <c r="P22" s="721" t="s">
        <v>21</v>
      </c>
      <c r="Q22" s="721"/>
      <c r="R22" s="721" t="s">
        <v>186</v>
      </c>
      <c r="S22" s="721" t="s">
        <v>21</v>
      </c>
      <c r="T22" s="721" t="s">
        <v>21</v>
      </c>
      <c r="U22" s="722" t="s">
        <v>21</v>
      </c>
    </row>
    <row r="23" spans="1:21" s="587" customFormat="1" ht="27" customHeight="1" thickBot="1" x14ac:dyDescent="0.3">
      <c r="A23" s="826" t="s">
        <v>315</v>
      </c>
      <c r="B23" s="832" t="s">
        <v>316</v>
      </c>
      <c r="C23" s="676" t="s">
        <v>250</v>
      </c>
      <c r="D23" s="675">
        <v>3</v>
      </c>
      <c r="E23" s="583">
        <v>2</v>
      </c>
      <c r="F23" s="583">
        <v>2</v>
      </c>
      <c r="G23" s="670">
        <f>+'4-ENDEUDAMIENTO RED LARGA'!$Q$53*'3-ZONIFICACION DE CARGA'!D23</f>
        <v>40.748581060497351</v>
      </c>
      <c r="H23" s="670">
        <f>+'4-ENDEUDAMIENTO RED MEDIA'!$Q$53*'3-ZONIFICACION DE CARGA'!E23</f>
        <v>205.03947915942953</v>
      </c>
      <c r="I23" s="641">
        <f>+'1-CLIENTE-RED-ENDEUDAMIEN'!$K$180*'4-ENDEUDAMIENTO RED CORTA'!$R$53</f>
        <v>1.8962278489829312</v>
      </c>
      <c r="J23" s="641">
        <f>+'1-CLIENTE-RED-ENDEUDAMIEN'!$K$132*'4-ENDEUDAMIENTO RED CORTA'!$R$161</f>
        <v>2.099467373764289</v>
      </c>
      <c r="K23" s="691">
        <v>0</v>
      </c>
      <c r="L23" s="837">
        <f>SUM(G26:K26)</f>
        <v>850.42449306119136</v>
      </c>
      <c r="M23" s="756"/>
      <c r="N23" s="748">
        <f>+L23/45</f>
        <v>18.898322068026474</v>
      </c>
      <c r="O23" s="720" t="s">
        <v>21</v>
      </c>
      <c r="P23" s="721" t="s">
        <v>21</v>
      </c>
      <c r="Q23" s="721"/>
      <c r="R23" s="721"/>
      <c r="S23" s="721" t="s">
        <v>186</v>
      </c>
      <c r="T23" s="721" t="s">
        <v>21</v>
      </c>
      <c r="U23" s="722" t="s">
        <v>21</v>
      </c>
    </row>
    <row r="24" spans="1:21" s="587" customFormat="1" ht="15.75" thickBot="1" x14ac:dyDescent="0.3">
      <c r="A24" s="827"/>
      <c r="B24" s="833"/>
      <c r="C24" s="677" t="s">
        <v>252</v>
      </c>
      <c r="D24" s="675">
        <v>4</v>
      </c>
      <c r="E24" s="583">
        <v>2</v>
      </c>
      <c r="F24" s="583">
        <v>3</v>
      </c>
      <c r="G24" s="670">
        <f>+'4-ENDEUDAMIENTO RED LARGA'!$Q$53*'3-ZONIFICACION DE CARGA'!D24</f>
        <v>54.331441413996465</v>
      </c>
      <c r="H24" s="670">
        <f>+'4-ENDEUDAMIENTO RED MEDIA'!$Q$53*'3-ZONIFICACION DE CARGA'!E24</f>
        <v>205.03947915942953</v>
      </c>
      <c r="I24" s="641">
        <f>+'1-CLIENTE-RED-ENDEUDAMIEN'!$K$180*'4-ENDEUDAMIENTO RED CORTA'!$R$53</f>
        <v>1.8962278489829312</v>
      </c>
      <c r="J24" s="641">
        <f>+'1-CLIENTE-RED-ENDEUDAMIEN'!$K$132*'4-ENDEUDAMIENTO RED CORTA'!$R$161</f>
        <v>2.099467373764289</v>
      </c>
      <c r="K24" s="691">
        <v>0</v>
      </c>
      <c r="L24" s="838"/>
      <c r="M24" s="757"/>
      <c r="N24" s="749"/>
      <c r="O24" s="720" t="s">
        <v>21</v>
      </c>
      <c r="P24" s="721" t="s">
        <v>21</v>
      </c>
      <c r="Q24" s="721"/>
      <c r="R24" s="721"/>
      <c r="S24" s="721" t="s">
        <v>186</v>
      </c>
      <c r="T24" s="721" t="s">
        <v>21</v>
      </c>
      <c r="U24" s="722" t="s">
        <v>21</v>
      </c>
    </row>
    <row r="25" spans="1:21" s="587" customFormat="1" ht="15.75" thickBot="1" x14ac:dyDescent="0.3">
      <c r="A25" s="828"/>
      <c r="B25" s="834"/>
      <c r="C25" s="678" t="s">
        <v>243</v>
      </c>
      <c r="D25" s="675">
        <v>4</v>
      </c>
      <c r="E25" s="583">
        <v>2</v>
      </c>
      <c r="F25" s="583">
        <v>3</v>
      </c>
      <c r="G25" s="670">
        <f>+'4-ENDEUDAMIENTO RED LARGA'!$Q$53*'3-ZONIFICACION DE CARGA'!D25</f>
        <v>54.331441413996465</v>
      </c>
      <c r="H25" s="670">
        <f>+'4-ENDEUDAMIENTO RED MEDIA'!$Q$53*'3-ZONIFICACION DE CARGA'!E25</f>
        <v>205.03947915942953</v>
      </c>
      <c r="I25" s="641">
        <f>+'1-CLIENTE-RED-ENDEUDAMIEN'!$K$180*'4-ENDEUDAMIENTO RED CORTA'!$R$53</f>
        <v>1.8962278489829312</v>
      </c>
      <c r="J25" s="641">
        <f>+'1-CLIENTE-RED-ENDEUDAMIEN'!$K$132*'4-ENDEUDAMIENTO RED CORTA'!$R$161</f>
        <v>2.099467373764289</v>
      </c>
      <c r="K25" s="691">
        <f>+'1-CLIENTE-RED-ENDEUDAMIEN'!$K$136*'4-ENDEUDAMIENTO RED CORTA'!$V$215</f>
        <v>73.907506026170822</v>
      </c>
      <c r="L25" s="838"/>
      <c r="M25" s="757"/>
      <c r="N25" s="749"/>
      <c r="O25" s="720" t="s">
        <v>21</v>
      </c>
      <c r="P25" s="721" t="s">
        <v>21</v>
      </c>
      <c r="Q25" s="721"/>
      <c r="R25" s="721"/>
      <c r="S25" s="721" t="s">
        <v>186</v>
      </c>
      <c r="T25" s="721" t="s">
        <v>21</v>
      </c>
      <c r="U25" s="722" t="s">
        <v>21</v>
      </c>
    </row>
    <row r="26" spans="1:21" s="685" customFormat="1" ht="15.75" thickBot="1" x14ac:dyDescent="0.3">
      <c r="A26" s="821" t="s">
        <v>306</v>
      </c>
      <c r="B26" s="822"/>
      <c r="C26" s="680">
        <v>3</v>
      </c>
      <c r="D26" s="684">
        <f>SUM(D23:D25)</f>
        <v>11</v>
      </c>
      <c r="E26" s="684">
        <f t="shared" ref="E26:K26" si="4">SUM(E23:E25)</f>
        <v>6</v>
      </c>
      <c r="F26" s="684">
        <f t="shared" si="4"/>
        <v>8</v>
      </c>
      <c r="G26" s="684">
        <f t="shared" si="4"/>
        <v>149.41146388849029</v>
      </c>
      <c r="H26" s="684">
        <f t="shared" si="4"/>
        <v>615.11843747828857</v>
      </c>
      <c r="I26" s="684">
        <f t="shared" si="4"/>
        <v>5.6886835469487931</v>
      </c>
      <c r="J26" s="684">
        <f t="shared" si="4"/>
        <v>6.2984021212928667</v>
      </c>
      <c r="K26" s="694">
        <f t="shared" si="4"/>
        <v>73.907506026170822</v>
      </c>
      <c r="L26" s="839"/>
      <c r="M26" s="758">
        <f>+'3-ZONIFICACION DE CARGA'!D26+'3-ZONIFICACION DE CARGA'!E26+'3-ZONIFICACION DE CARGA'!F26</f>
        <v>25</v>
      </c>
      <c r="N26" s="750"/>
      <c r="O26" s="720" t="s">
        <v>21</v>
      </c>
      <c r="P26" s="721" t="s">
        <v>21</v>
      </c>
      <c r="Q26" s="721"/>
      <c r="R26" s="721"/>
      <c r="S26" s="721" t="s">
        <v>186</v>
      </c>
      <c r="T26" s="721" t="s">
        <v>21</v>
      </c>
      <c r="U26" s="722" t="s">
        <v>21</v>
      </c>
    </row>
    <row r="27" spans="1:21" s="587" customFormat="1" ht="15.75" thickBot="1" x14ac:dyDescent="0.3">
      <c r="A27" s="826" t="s">
        <v>528</v>
      </c>
      <c r="B27" s="832" t="s">
        <v>317</v>
      </c>
      <c r="C27" s="676" t="s">
        <v>244</v>
      </c>
      <c r="D27" s="675">
        <v>6</v>
      </c>
      <c r="E27" s="583">
        <v>2</v>
      </c>
      <c r="F27" s="583">
        <v>5</v>
      </c>
      <c r="G27" s="670">
        <f>+'4-ENDEUDAMIENTO RED LARGA'!$Q$53*'3-ZONIFICACION DE CARGA'!D27</f>
        <v>81.497162120994702</v>
      </c>
      <c r="H27" s="670">
        <f>+'4-ENDEUDAMIENTO RED MEDIA'!$Q$53*'3-ZONIFICACION DE CARGA'!E27</f>
        <v>205.03947915942953</v>
      </c>
      <c r="I27" s="641">
        <f>+'1-CLIENTE-RED-ENDEUDAMIEN'!$K$180*'4-ENDEUDAMIENTO RED CORTA'!$R$53</f>
        <v>1.8962278489829312</v>
      </c>
      <c r="J27" s="641">
        <f>+'1-CLIENTE-RED-ENDEUDAMIEN'!K171*'4-ENDEUDAMIENTO RED CORTA'!$R$161</f>
        <v>4.1989347475285781</v>
      </c>
      <c r="K27" s="691">
        <f>+'1-CLIENTE-RED-ENDEUDAMIEN'!$K$136*'4-ENDEUDAMIENTO RED CORTA'!$V$215</f>
        <v>73.907506026170822</v>
      </c>
      <c r="L27" s="837">
        <f>SUM(G30:K30)</f>
        <v>1043.187020921559</v>
      </c>
      <c r="M27" s="756"/>
      <c r="N27" s="748">
        <f>+L27/45</f>
        <v>23.181933798256868</v>
      </c>
      <c r="O27" s="720" t="s">
        <v>21</v>
      </c>
      <c r="P27" s="721" t="s">
        <v>21</v>
      </c>
      <c r="Q27" s="721"/>
      <c r="R27" s="721"/>
      <c r="S27" s="721" t="s">
        <v>21</v>
      </c>
      <c r="T27" s="721" t="s">
        <v>186</v>
      </c>
      <c r="U27" s="722" t="s">
        <v>21</v>
      </c>
    </row>
    <row r="28" spans="1:21" s="587" customFormat="1" ht="15.75" thickBot="1" x14ac:dyDescent="0.3">
      <c r="A28" s="827"/>
      <c r="B28" s="833"/>
      <c r="C28" s="677" t="s">
        <v>245</v>
      </c>
      <c r="D28" s="675">
        <v>4</v>
      </c>
      <c r="E28" s="583">
        <v>2</v>
      </c>
      <c r="F28" s="583">
        <v>4</v>
      </c>
      <c r="G28" s="670">
        <f>+'4-ENDEUDAMIENTO RED LARGA'!$Q$53*'3-ZONIFICACION DE CARGA'!D28</f>
        <v>54.331441413996465</v>
      </c>
      <c r="H28" s="670">
        <f>+'4-ENDEUDAMIENTO RED MEDIA'!$Q$53*'3-ZONIFICACION DE CARGA'!E28</f>
        <v>205.03947915942953</v>
      </c>
      <c r="I28" s="641">
        <f>+'1-CLIENTE-RED-ENDEUDAMIEN'!$K$180*'4-ENDEUDAMIENTO RED CORTA'!$R$53</f>
        <v>1.8962278489829312</v>
      </c>
      <c r="J28" s="641">
        <f>+'1-CLIENTE-RED-ENDEUDAMIEN'!$K$132*'4-ENDEUDAMIENTO RED CORTA'!$R$161</f>
        <v>2.099467373764289</v>
      </c>
      <c r="K28" s="691">
        <f>+'1-CLIENTE-RED-ENDEUDAMIEN'!K148*'4-ENDEUDAMIENTO RED CORTA'!$V$215</f>
        <v>147.81501205234164</v>
      </c>
      <c r="L28" s="838"/>
      <c r="M28" s="757"/>
      <c r="N28" s="749"/>
      <c r="O28" s="720" t="s">
        <v>21</v>
      </c>
      <c r="P28" s="721" t="s">
        <v>21</v>
      </c>
      <c r="Q28" s="721"/>
      <c r="R28" s="721"/>
      <c r="S28" s="721" t="s">
        <v>21</v>
      </c>
      <c r="T28" s="721" t="s">
        <v>186</v>
      </c>
      <c r="U28" s="722" t="s">
        <v>21</v>
      </c>
    </row>
    <row r="29" spans="1:21" s="587" customFormat="1" ht="15.75" thickBot="1" x14ac:dyDescent="0.3">
      <c r="A29" s="828"/>
      <c r="B29" s="834"/>
      <c r="C29" s="678" t="s">
        <v>251</v>
      </c>
      <c r="D29" s="675">
        <v>4</v>
      </c>
      <c r="E29" s="583">
        <v>2</v>
      </c>
      <c r="F29" s="583">
        <v>3</v>
      </c>
      <c r="G29" s="670">
        <f>+'4-ENDEUDAMIENTO RED LARGA'!$Q$53*'3-ZONIFICACION DE CARGA'!D29</f>
        <v>54.331441413996465</v>
      </c>
      <c r="H29" s="670">
        <f>+'4-ENDEUDAMIENTO RED MEDIA'!$Q$53*'3-ZONIFICACION DE CARGA'!E29</f>
        <v>205.03947915942953</v>
      </c>
      <c r="I29" s="641">
        <f>+'1-CLIENTE-RED-ENDEUDAMIEN'!$K$180*'4-ENDEUDAMIENTO RED CORTA'!$R$53</f>
        <v>1.8962278489829312</v>
      </c>
      <c r="J29" s="641">
        <f>+'1-CLIENTE-RED-ENDEUDAMIEN'!K135*'4-ENDEUDAMIENTO RED CORTA'!$R$161</f>
        <v>4.1989347475285781</v>
      </c>
      <c r="K29" s="691">
        <v>0</v>
      </c>
      <c r="L29" s="838"/>
      <c r="M29" s="757"/>
      <c r="N29" s="749"/>
      <c r="O29" s="720" t="s">
        <v>21</v>
      </c>
      <c r="P29" s="721" t="s">
        <v>321</v>
      </c>
      <c r="Q29" s="721"/>
      <c r="R29" s="721"/>
      <c r="S29" s="721" t="s">
        <v>21</v>
      </c>
      <c r="T29" s="721" t="s">
        <v>186</v>
      </c>
      <c r="U29" s="722" t="s">
        <v>21</v>
      </c>
    </row>
    <row r="30" spans="1:21" s="685" customFormat="1" ht="15.75" thickBot="1" x14ac:dyDescent="0.3">
      <c r="A30" s="821" t="s">
        <v>307</v>
      </c>
      <c r="B30" s="822"/>
      <c r="C30" s="680">
        <v>3</v>
      </c>
      <c r="D30" s="684">
        <f>SUM(D27:D29)</f>
        <v>14</v>
      </c>
      <c r="E30" s="684">
        <f t="shared" ref="E30:K30" si="5">SUM(E27:E29)</f>
        <v>6</v>
      </c>
      <c r="F30" s="684">
        <f t="shared" si="5"/>
        <v>12</v>
      </c>
      <c r="G30" s="684">
        <f t="shared" si="5"/>
        <v>190.16004494898763</v>
      </c>
      <c r="H30" s="684">
        <f t="shared" si="5"/>
        <v>615.11843747828857</v>
      </c>
      <c r="I30" s="684">
        <f t="shared" si="5"/>
        <v>5.6886835469487931</v>
      </c>
      <c r="J30" s="684">
        <f t="shared" si="5"/>
        <v>10.497336868821446</v>
      </c>
      <c r="K30" s="694">
        <f t="shared" si="5"/>
        <v>221.72251807851245</v>
      </c>
      <c r="L30" s="839"/>
      <c r="M30" s="758">
        <f>+'3-ZONIFICACION DE CARGA'!D30+'3-ZONIFICACION DE CARGA'!E30+'3-ZONIFICACION DE CARGA'!F30</f>
        <v>32</v>
      </c>
      <c r="N30" s="750"/>
      <c r="O30" s="720" t="s">
        <v>21</v>
      </c>
      <c r="P30" s="721" t="s">
        <v>21</v>
      </c>
      <c r="Q30" s="721"/>
      <c r="R30" s="721"/>
      <c r="S30" s="721" t="s">
        <v>21</v>
      </c>
      <c r="T30" s="721" t="s">
        <v>186</v>
      </c>
      <c r="U30" s="722" t="s">
        <v>21</v>
      </c>
    </row>
    <row r="31" spans="1:21" s="587" customFormat="1" ht="15.75" thickBot="1" x14ac:dyDescent="0.3">
      <c r="A31" s="767" t="s">
        <v>319</v>
      </c>
      <c r="B31" s="768"/>
      <c r="C31" s="765">
        <f>+C30+C26+C22+C18+C13+C9</f>
        <v>20</v>
      </c>
      <c r="D31" s="769">
        <f>+D9+D13+D18+D22+D26+D30</f>
        <v>88</v>
      </c>
      <c r="E31" s="769">
        <f t="shared" ref="E31:K31" si="6">+E9+E13+E18+E22+E26+E30</f>
        <v>37</v>
      </c>
      <c r="F31" s="769">
        <f t="shared" si="6"/>
        <v>52</v>
      </c>
      <c r="G31" s="769">
        <f t="shared" si="6"/>
        <v>1195.2917111079223</v>
      </c>
      <c r="H31" s="769">
        <f t="shared" si="6"/>
        <v>3793.2303644494468</v>
      </c>
      <c r="I31" s="769">
        <f t="shared" si="6"/>
        <v>32.23587343270983</v>
      </c>
      <c r="J31" s="769">
        <f t="shared" si="6"/>
        <v>44.088814849050067</v>
      </c>
      <c r="K31" s="769">
        <f t="shared" si="6"/>
        <v>812.98256628787908</v>
      </c>
      <c r="L31" s="768"/>
      <c r="M31" s="765">
        <f>+M30+M26+M22+M18+M13+M9</f>
        <v>177</v>
      </c>
      <c r="N31" s="766">
        <f>SUM(N6:N30)</f>
        <v>130.61842955837795</v>
      </c>
    </row>
    <row r="32" spans="1:21" s="587" customFormat="1" x14ac:dyDescent="0.25">
      <c r="E32" s="703"/>
      <c r="I32" s="640"/>
      <c r="J32" s="640"/>
      <c r="K32" s="640"/>
    </row>
    <row r="33" spans="4:11" x14ac:dyDescent="0.25">
      <c r="D33" s="270">
        <f>SUM(D31:F32)</f>
        <v>177</v>
      </c>
      <c r="I33" s="1"/>
      <c r="J33" s="1"/>
      <c r="K33" s="1"/>
    </row>
  </sheetData>
  <mergeCells count="27">
    <mergeCell ref="I3:K3"/>
    <mergeCell ref="O3:U3"/>
    <mergeCell ref="A5:A8"/>
    <mergeCell ref="B5:B8"/>
    <mergeCell ref="L6:L9"/>
    <mergeCell ref="A9:B9"/>
    <mergeCell ref="A13:B13"/>
    <mergeCell ref="A14:A17"/>
    <mergeCell ref="B14:B17"/>
    <mergeCell ref="L14:L18"/>
    <mergeCell ref="A18:B18"/>
    <mergeCell ref="A27:A29"/>
    <mergeCell ref="B27:B29"/>
    <mergeCell ref="L27:L30"/>
    <mergeCell ref="A30:B30"/>
    <mergeCell ref="A1:I1"/>
    <mergeCell ref="A19:A21"/>
    <mergeCell ref="B19:B21"/>
    <mergeCell ref="L19:L22"/>
    <mergeCell ref="A22:B22"/>
    <mergeCell ref="A23:A25"/>
    <mergeCell ref="B23:B25"/>
    <mergeCell ref="L23:L26"/>
    <mergeCell ref="A26:B26"/>
    <mergeCell ref="A10:A12"/>
    <mergeCell ref="B10:B12"/>
    <mergeCell ref="L10:L1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F23" sqref="F23"/>
    </sheetView>
  </sheetViews>
  <sheetFormatPr baseColWidth="10" defaultRowHeight="15" x14ac:dyDescent="0.25"/>
  <cols>
    <col min="2" max="2" width="26.85546875" customWidth="1"/>
    <col min="3" max="3" width="16.85546875" bestFit="1" customWidth="1"/>
    <col min="4" max="4" width="11.42578125" style="1"/>
    <col min="5" max="9" width="14.140625" bestFit="1" customWidth="1"/>
    <col min="10" max="10" width="15.140625" bestFit="1" customWidth="1"/>
  </cols>
  <sheetData>
    <row r="1" spans="1:10" ht="21.75" thickBot="1" x14ac:dyDescent="0.4">
      <c r="A1" s="857" t="s">
        <v>502</v>
      </c>
      <c r="B1" s="857"/>
      <c r="C1" s="857"/>
      <c r="D1" s="857"/>
      <c r="E1" s="857"/>
      <c r="F1" s="857"/>
      <c r="G1" s="857"/>
      <c r="H1" s="857"/>
      <c r="I1" s="857"/>
      <c r="J1" s="857"/>
    </row>
    <row r="2" spans="1:10" x14ac:dyDescent="0.25">
      <c r="A2" s="855" t="s">
        <v>516</v>
      </c>
      <c r="B2" s="856"/>
      <c r="C2" s="849" t="s">
        <v>513</v>
      </c>
      <c r="D2" s="850"/>
      <c r="E2" s="850"/>
      <c r="F2" s="850"/>
      <c r="G2" s="850"/>
      <c r="H2" s="850"/>
      <c r="I2" s="850"/>
      <c r="J2" s="851"/>
    </row>
    <row r="3" spans="1:10" ht="45" x14ac:dyDescent="0.25">
      <c r="A3" s="3" t="s">
        <v>125</v>
      </c>
      <c r="B3" s="578">
        <f>+'4-ENDEUDAMIENTO RED LARGA'!N53</f>
        <v>1229853964.2261989</v>
      </c>
      <c r="C3" s="3" t="s">
        <v>241</v>
      </c>
      <c r="D3" s="5" t="s">
        <v>519</v>
      </c>
      <c r="E3" s="3" t="s">
        <v>503</v>
      </c>
      <c r="F3" s="3" t="s">
        <v>504</v>
      </c>
      <c r="G3" s="3" t="s">
        <v>505</v>
      </c>
      <c r="H3" s="3" t="s">
        <v>506</v>
      </c>
      <c r="I3" s="3" t="s">
        <v>507</v>
      </c>
      <c r="J3" s="3" t="s">
        <v>508</v>
      </c>
    </row>
    <row r="4" spans="1:10" x14ac:dyDescent="0.25">
      <c r="A4" s="3" t="s">
        <v>126</v>
      </c>
      <c r="B4" s="578">
        <f>+'4-ENDEUDAMIENTO RED MEDIA'!N53</f>
        <v>78710653.710476711</v>
      </c>
      <c r="C4" s="3" t="s">
        <v>509</v>
      </c>
      <c r="D4" s="578">
        <f>+'3-ZONIFICACION DE CARGA'!M6</f>
        <v>20.184486993233289</v>
      </c>
      <c r="E4" s="578">
        <f>+D4*400000</f>
        <v>8073794.7972933156</v>
      </c>
      <c r="F4" s="3"/>
      <c r="G4" s="3"/>
      <c r="H4" s="3"/>
      <c r="I4" s="3"/>
      <c r="J4" s="3"/>
    </row>
    <row r="5" spans="1:10" x14ac:dyDescent="0.25">
      <c r="A5" s="3" t="s">
        <v>127</v>
      </c>
      <c r="B5" s="578">
        <f>+'4-ENDEUDAMIENTO RED CORTA'!P53+'4-ENDEUDAMIENTO RED CORTA'!P161+'4-ENDEUDAMIENTO RED CORTA'!T215</f>
        <v>1401961405.4184315</v>
      </c>
      <c r="C5" s="3" t="s">
        <v>510</v>
      </c>
      <c r="D5" s="578">
        <f>+'3-ZONIFICACION DE CARGA'!M10</f>
        <v>27.580767547563745</v>
      </c>
      <c r="E5" s="3"/>
      <c r="F5" s="578">
        <f>+D5*400000</f>
        <v>11032307.019025499</v>
      </c>
      <c r="G5" s="3"/>
      <c r="H5" s="3"/>
      <c r="I5" s="3"/>
      <c r="J5" s="3"/>
    </row>
    <row r="6" spans="1:10" x14ac:dyDescent="0.25">
      <c r="C6" s="3" t="s">
        <v>294</v>
      </c>
      <c r="D6" s="578">
        <f>+'3-ZONIFICACION DE CARGA'!M14</f>
        <v>21.270914400893361</v>
      </c>
      <c r="E6" s="3"/>
      <c r="F6" s="3"/>
      <c r="G6" s="578">
        <f>+D6*400000</f>
        <v>8508365.7603573445</v>
      </c>
      <c r="H6" s="3"/>
      <c r="I6" s="3"/>
      <c r="J6" s="3"/>
    </row>
    <row r="7" spans="1:10" x14ac:dyDescent="0.25">
      <c r="C7" s="3" t="s">
        <v>511</v>
      </c>
      <c r="D7" s="578">
        <f>+'3-ZONIFICACION DE CARGA'!M19</f>
        <v>19.502004750404211</v>
      </c>
      <c r="E7" s="3"/>
      <c r="F7" s="3"/>
      <c r="G7" s="3"/>
      <c r="H7" s="578">
        <f>+D7*400000</f>
        <v>7800801.9001616845</v>
      </c>
      <c r="I7" s="3"/>
      <c r="J7" s="3"/>
    </row>
    <row r="8" spans="1:10" x14ac:dyDescent="0.25">
      <c r="C8" s="3" t="s">
        <v>512</v>
      </c>
      <c r="D8" s="578">
        <f>+'3-ZONIFICACION DE CARGA'!M23</f>
        <v>18.898322068026474</v>
      </c>
      <c r="E8" s="3"/>
      <c r="F8" s="3"/>
      <c r="G8" s="3"/>
      <c r="H8" s="3"/>
      <c r="I8" s="578">
        <f>+D8*400000</f>
        <v>7559328.8272105893</v>
      </c>
      <c r="J8" s="3"/>
    </row>
    <row r="9" spans="1:10" x14ac:dyDescent="0.25">
      <c r="C9" s="3" t="s">
        <v>295</v>
      </c>
      <c r="D9" s="578">
        <f>+'3-ZONIFICACION DE CARGA'!M27</f>
        <v>23.181933798256868</v>
      </c>
      <c r="E9" s="3"/>
      <c r="F9" s="3"/>
      <c r="G9" s="3"/>
      <c r="H9" s="3"/>
      <c r="I9" s="3"/>
      <c r="J9" s="578">
        <f>+D9*400000</f>
        <v>9272773.5193027463</v>
      </c>
    </row>
    <row r="10" spans="1:10" ht="15.75" thickBot="1" x14ac:dyDescent="0.3">
      <c r="C10" s="744"/>
      <c r="D10" s="744"/>
      <c r="E10" s="744"/>
      <c r="F10" s="744"/>
      <c r="G10" s="744"/>
      <c r="H10" s="744"/>
      <c r="I10" s="3"/>
      <c r="J10" s="744"/>
    </row>
    <row r="11" spans="1:10" ht="15.75" thickBot="1" x14ac:dyDescent="0.3">
      <c r="A11" s="745" t="s">
        <v>517</v>
      </c>
      <c r="B11" s="746">
        <f>SUM(B3:B10)</f>
        <v>2710526023.3551073</v>
      </c>
      <c r="C11" s="852" t="s">
        <v>514</v>
      </c>
      <c r="D11" s="853"/>
      <c r="E11" s="853"/>
      <c r="F11" s="853"/>
      <c r="G11" s="853"/>
      <c r="H11" s="854"/>
      <c r="J11" s="747">
        <f>+J9+I8+H7+G6+F5+E4</f>
        <v>52247371.823351175</v>
      </c>
    </row>
    <row r="12" spans="1:10" ht="15.75" thickBot="1" x14ac:dyDescent="0.3">
      <c r="C12" s="852" t="s">
        <v>515</v>
      </c>
      <c r="D12" s="853"/>
      <c r="E12" s="853"/>
      <c r="F12" s="853"/>
      <c r="G12" s="853"/>
      <c r="H12" s="854"/>
      <c r="J12" s="747">
        <f>+J11*4</f>
        <v>208989487.2934047</v>
      </c>
    </row>
    <row r="15" spans="1:10" x14ac:dyDescent="0.25">
      <c r="B15" s="46" t="s">
        <v>518</v>
      </c>
      <c r="C15" t="s">
        <v>523</v>
      </c>
      <c r="D15" s="1" t="s">
        <v>524</v>
      </c>
    </row>
    <row r="16" spans="1:10" x14ac:dyDescent="0.25">
      <c r="B16" t="s">
        <v>520</v>
      </c>
      <c r="C16" s="270">
        <f>+B11</f>
        <v>2710526023.3551073</v>
      </c>
      <c r="D16" s="74">
        <f>+C16/C16</f>
        <v>1</v>
      </c>
    </row>
    <row r="17" spans="2:4" x14ac:dyDescent="0.25">
      <c r="B17" t="s">
        <v>521</v>
      </c>
      <c r="C17" s="270">
        <f>+J12</f>
        <v>208989487.2934047</v>
      </c>
      <c r="D17" s="74">
        <f>+C17/C16</f>
        <v>7.7102925960738838E-2</v>
      </c>
    </row>
    <row r="18" spans="2:4" x14ac:dyDescent="0.25">
      <c r="B18" t="s">
        <v>522</v>
      </c>
      <c r="C18" s="270">
        <f>+C16-C17</f>
        <v>2501536536.0617027</v>
      </c>
      <c r="D18" s="74">
        <f>+C18/C16</f>
        <v>0.92289707403926124</v>
      </c>
    </row>
    <row r="19" spans="2:4" x14ac:dyDescent="0.25">
      <c r="B19" t="s">
        <v>536</v>
      </c>
      <c r="C19" s="364">
        <f>+pronostico!F51</f>
        <v>9838831713.8095913</v>
      </c>
      <c r="D19" s="74">
        <v>1</v>
      </c>
    </row>
    <row r="20" spans="2:4" x14ac:dyDescent="0.25">
      <c r="B20" t="s">
        <v>537</v>
      </c>
      <c r="C20" s="270">
        <f>+C16</f>
        <v>2710526023.3551073</v>
      </c>
      <c r="D20" s="74">
        <f>+C20/C19</f>
        <v>0.27549267049162618</v>
      </c>
    </row>
  </sheetData>
  <mergeCells count="5">
    <mergeCell ref="C2:J2"/>
    <mergeCell ref="C11:H11"/>
    <mergeCell ref="C12:H12"/>
    <mergeCell ref="A2:B2"/>
    <mergeCell ref="A1: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F40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2" width="11.5703125" style="1" bestFit="1" customWidth="1"/>
    <col min="13" max="13" width="12.85546875" style="1" bestFit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2.71093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774" t="s">
        <v>154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AF1" s="776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+pronostico!H3*50%</f>
        <v>84858.794520684794</v>
      </c>
      <c r="G4" s="137">
        <f>F4*D4</f>
        <v>416656681.09656233</v>
      </c>
      <c r="H4" s="138">
        <f>G4*E4</f>
        <v>166662672.43862495</v>
      </c>
      <c r="I4" s="137">
        <f>+F4*50%</f>
        <v>42429.397260342397</v>
      </c>
      <c r="J4" s="139">
        <f>+F4*30%</f>
        <v>25457.638356205436</v>
      </c>
      <c r="K4" s="167">
        <f t="shared" ref="K4:K51" si="0">+F4*10%</f>
        <v>8485.8794520684805</v>
      </c>
      <c r="L4" s="168">
        <f t="shared" ref="L4:L18" si="1">+F4*10%</f>
        <v>8485.8794520684805</v>
      </c>
      <c r="M4" s="169">
        <f>+pronostico!H3*20%</f>
        <v>33943.517808273922</v>
      </c>
      <c r="N4" s="170">
        <f t="shared" ref="N4:N51" si="2">M4*D4</f>
        <v>166662672.43862495</v>
      </c>
      <c r="O4" s="171">
        <f t="shared" ref="O4:O51" si="3">N4*E4</f>
        <v>66665068.975449979</v>
      </c>
      <c r="P4" s="170">
        <f>+M4*50%</f>
        <v>16971.758904136961</v>
      </c>
      <c r="Q4" s="172">
        <f>+M4*50%</f>
        <v>16971.758904136961</v>
      </c>
      <c r="R4" s="173">
        <f>+pronostico!H3*8%</f>
        <v>13577.407123309567</v>
      </c>
      <c r="S4" s="174">
        <f t="shared" ref="S4:S51" si="4">R4*D4</f>
        <v>66665068.975449979</v>
      </c>
      <c r="T4" s="175">
        <f t="shared" ref="T4:T51" si="5">S4*E4</f>
        <v>26666027.590179995</v>
      </c>
      <c r="U4" s="173">
        <f>+pronostico!H3*8%</f>
        <v>13577.407123309567</v>
      </c>
      <c r="V4" s="176">
        <f t="shared" ref="V4:V35" si="6">U4*D4</f>
        <v>66665068.975449979</v>
      </c>
      <c r="W4" s="177">
        <f t="shared" ref="W4:W35" si="7">V4*E4</f>
        <v>26666027.590179995</v>
      </c>
      <c r="X4" s="173">
        <f>+pronostico!H3*2%</f>
        <v>3394.3517808273918</v>
      </c>
      <c r="Y4" s="178">
        <f t="shared" ref="Y4:Y51" si="8">X4*D4</f>
        <v>16666267.243862495</v>
      </c>
      <c r="Z4" s="178">
        <f t="shared" ref="Z4:Z51" si="9">Y4*E4</f>
        <v>6666506.8975449987</v>
      </c>
      <c r="AA4" s="173">
        <f>+pronostico!H3*2%</f>
        <v>3394.3517808273918</v>
      </c>
      <c r="AB4" s="176">
        <f t="shared" ref="AB4:AB51" si="10">AA4*D4</f>
        <v>16666267.243862495</v>
      </c>
      <c r="AC4" s="177">
        <f t="shared" ref="AC4:AC51" si="11">AB4*E4</f>
        <v>6666506.8975449987</v>
      </c>
      <c r="AD4" s="173">
        <f>+pronostico!H3*10%</f>
        <v>16971.758904136961</v>
      </c>
      <c r="AE4" s="176">
        <f>+AD4*D4</f>
        <v>83331336.219312474</v>
      </c>
      <c r="AF4" s="177">
        <f>+AE4*E4</f>
        <v>33332534.48772499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+pronostico!H4*50%</f>
        <v>61044.080047189527</v>
      </c>
      <c r="G5" s="137">
        <f t="shared" ref="G5:H51" si="13">F5*D5</f>
        <v>299726433.03170055</v>
      </c>
      <c r="H5" s="138">
        <f t="shared" si="13"/>
        <v>119890573.21268022</v>
      </c>
      <c r="I5" s="137">
        <f t="shared" ref="I5:I20" si="14">+F5*50%</f>
        <v>30522.040023594764</v>
      </c>
      <c r="J5" s="139">
        <f t="shared" ref="J5:J51" si="15">+F5*30%</f>
        <v>18313.224014156858</v>
      </c>
      <c r="K5" s="167">
        <f t="shared" si="0"/>
        <v>6104.4080047189527</v>
      </c>
      <c r="L5" s="168">
        <f t="shared" si="1"/>
        <v>6104.4080047189527</v>
      </c>
      <c r="M5" s="169">
        <f>+pronostico!H4*20%</f>
        <v>24417.632018875811</v>
      </c>
      <c r="N5" s="170">
        <f t="shared" si="2"/>
        <v>119890573.21268024</v>
      </c>
      <c r="O5" s="171">
        <f t="shared" si="3"/>
        <v>47956229.285072096</v>
      </c>
      <c r="P5" s="170">
        <f t="shared" ref="P5:P51" si="16">+M5*50%</f>
        <v>12208.816009437905</v>
      </c>
      <c r="Q5" s="172">
        <f t="shared" ref="Q5:Q51" si="17">+M5*50%</f>
        <v>12208.816009437905</v>
      </c>
      <c r="R5" s="173">
        <f>+pronostico!H4*8%</f>
        <v>9767.0528075503244</v>
      </c>
      <c r="S5" s="174">
        <f t="shared" si="4"/>
        <v>47956229.285072096</v>
      </c>
      <c r="T5" s="175">
        <f t="shared" si="5"/>
        <v>19182491.714028839</v>
      </c>
      <c r="U5" s="173">
        <f>+pronostico!H4*8%</f>
        <v>9767.0528075503244</v>
      </c>
      <c r="V5" s="176">
        <f t="shared" si="6"/>
        <v>47956229.285072096</v>
      </c>
      <c r="W5" s="177">
        <f t="shared" si="7"/>
        <v>19182491.714028839</v>
      </c>
      <c r="X5" s="173">
        <f>+pronostico!H4*2%</f>
        <v>2441.7632018875811</v>
      </c>
      <c r="Y5" s="178">
        <f t="shared" si="8"/>
        <v>11989057.321268024</v>
      </c>
      <c r="Z5" s="178">
        <f t="shared" si="9"/>
        <v>4795622.9285072098</v>
      </c>
      <c r="AA5" s="173">
        <f>+pronostico!H4*2%</f>
        <v>2441.7632018875811</v>
      </c>
      <c r="AB5" s="179">
        <f t="shared" si="10"/>
        <v>11989057.321268024</v>
      </c>
      <c r="AC5" s="180">
        <f t="shared" si="11"/>
        <v>4795622.9285072098</v>
      </c>
      <c r="AD5" s="173">
        <f>+pronostico!H4*10%</f>
        <v>12208.816009437905</v>
      </c>
      <c r="AE5" s="176">
        <f t="shared" ref="AE5:AF20" si="18">+AD5*D5</f>
        <v>59945286.606340118</v>
      </c>
      <c r="AF5" s="177">
        <f t="shared" si="18"/>
        <v>23978114.642536048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+pronostico!H5*50%</f>
        <v>16972.477205848012</v>
      </c>
      <c r="G6" s="137">
        <f t="shared" si="13"/>
        <v>101834863.23508807</v>
      </c>
      <c r="H6" s="138">
        <f t="shared" si="13"/>
        <v>40733945.294035226</v>
      </c>
      <c r="I6" s="137">
        <f t="shared" si="14"/>
        <v>8486.238602924006</v>
      </c>
      <c r="J6" s="139">
        <f t="shared" si="15"/>
        <v>5091.7431617544034</v>
      </c>
      <c r="K6" s="167">
        <f t="shared" si="0"/>
        <v>1697.2477205848013</v>
      </c>
      <c r="L6" s="168">
        <f t="shared" si="1"/>
        <v>1697.2477205848013</v>
      </c>
      <c r="M6" s="169">
        <f>+pronostico!H5*20%</f>
        <v>6788.9908823392052</v>
      </c>
      <c r="N6" s="170">
        <f t="shared" si="2"/>
        <v>40733945.294035234</v>
      </c>
      <c r="O6" s="171">
        <f t="shared" si="3"/>
        <v>16293578.117614094</v>
      </c>
      <c r="P6" s="170">
        <f t="shared" si="16"/>
        <v>3394.4954411696026</v>
      </c>
      <c r="Q6" s="172">
        <f t="shared" si="17"/>
        <v>3394.4954411696026</v>
      </c>
      <c r="R6" s="173">
        <f>+pronostico!H5*8%</f>
        <v>2715.5963529356818</v>
      </c>
      <c r="S6" s="174">
        <f t="shared" si="4"/>
        <v>16293578.11761409</v>
      </c>
      <c r="T6" s="175">
        <f t="shared" si="5"/>
        <v>6517431.2470456362</v>
      </c>
      <c r="U6" s="173">
        <f>+pronostico!H5*8%</f>
        <v>2715.5963529356818</v>
      </c>
      <c r="V6" s="176">
        <f t="shared" si="6"/>
        <v>16293578.11761409</v>
      </c>
      <c r="W6" s="177">
        <f t="shared" si="7"/>
        <v>6517431.2470456362</v>
      </c>
      <c r="X6" s="173">
        <f>+pronostico!H5*2%</f>
        <v>678.89908823392045</v>
      </c>
      <c r="Y6" s="178">
        <f t="shared" si="8"/>
        <v>4073394.5294035226</v>
      </c>
      <c r="Z6" s="178">
        <f t="shared" si="9"/>
        <v>1629357.811761409</v>
      </c>
      <c r="AA6" s="173">
        <f>+pronostico!H5*2%</f>
        <v>678.89908823392045</v>
      </c>
      <c r="AB6" s="179">
        <f t="shared" si="10"/>
        <v>4073394.5294035226</v>
      </c>
      <c r="AC6" s="180">
        <f t="shared" si="11"/>
        <v>1629357.811761409</v>
      </c>
      <c r="AD6" s="173">
        <f>+pronostico!H5*10%</f>
        <v>3394.4954411696026</v>
      </c>
      <c r="AE6" s="176">
        <f t="shared" si="18"/>
        <v>20366972.647017617</v>
      </c>
      <c r="AF6" s="177">
        <f t="shared" si="18"/>
        <v>8146789.0588070471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+pronostico!H6*50%</f>
        <v>31874.204777989482</v>
      </c>
      <c r="G7" s="137">
        <f t="shared" si="13"/>
        <v>163514670.51108605</v>
      </c>
      <c r="H7" s="138">
        <f t="shared" si="13"/>
        <v>65405868.204434425</v>
      </c>
      <c r="I7" s="137">
        <f t="shared" si="14"/>
        <v>15937.102388994741</v>
      </c>
      <c r="J7" s="139">
        <f t="shared" si="15"/>
        <v>9562.261433396845</v>
      </c>
      <c r="K7" s="167">
        <f t="shared" si="0"/>
        <v>3187.4204777989485</v>
      </c>
      <c r="L7" s="168">
        <f t="shared" si="1"/>
        <v>3187.4204777989485</v>
      </c>
      <c r="M7" s="169">
        <f>+pronostico!H6*20%</f>
        <v>12749.681911195794</v>
      </c>
      <c r="N7" s="170">
        <f t="shared" si="2"/>
        <v>65405868.204434425</v>
      </c>
      <c r="O7" s="171">
        <f t="shared" si="3"/>
        <v>26162347.281773772</v>
      </c>
      <c r="P7" s="170">
        <f t="shared" si="16"/>
        <v>6374.8409555978969</v>
      </c>
      <c r="Q7" s="172">
        <f t="shared" si="17"/>
        <v>6374.8409555978969</v>
      </c>
      <c r="R7" s="173">
        <f>+pronostico!H6*8%</f>
        <v>5099.8727644783175</v>
      </c>
      <c r="S7" s="174">
        <f t="shared" si="4"/>
        <v>26162347.281773768</v>
      </c>
      <c r="T7" s="175">
        <f t="shared" si="5"/>
        <v>10464938.912709508</v>
      </c>
      <c r="U7" s="173">
        <f>+pronostico!H6*8%</f>
        <v>5099.8727644783175</v>
      </c>
      <c r="V7" s="176">
        <f t="shared" si="6"/>
        <v>26162347.281773768</v>
      </c>
      <c r="W7" s="177">
        <f t="shared" si="7"/>
        <v>10464938.912709508</v>
      </c>
      <c r="X7" s="173">
        <f>+pronostico!H6*2%</f>
        <v>1274.9681911195794</v>
      </c>
      <c r="Y7" s="178">
        <f t="shared" si="8"/>
        <v>6540586.8204434421</v>
      </c>
      <c r="Z7" s="178">
        <f t="shared" si="9"/>
        <v>2616234.728177377</v>
      </c>
      <c r="AA7" s="173">
        <f>+pronostico!H6*2%</f>
        <v>1274.9681911195794</v>
      </c>
      <c r="AB7" s="179">
        <f t="shared" si="10"/>
        <v>6540586.8204434421</v>
      </c>
      <c r="AC7" s="180">
        <f t="shared" si="11"/>
        <v>2616234.728177377</v>
      </c>
      <c r="AD7" s="173">
        <f>+pronostico!H6*10%</f>
        <v>6374.8409555978969</v>
      </c>
      <c r="AE7" s="176">
        <f t="shared" si="18"/>
        <v>32702934.102217212</v>
      </c>
      <c r="AF7" s="177">
        <f t="shared" si="18"/>
        <v>13081173.640886886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+pronostico!H7*50%</f>
        <v>25058.025735484483</v>
      </c>
      <c r="G8" s="137">
        <f t="shared" si="13"/>
        <v>214246120.03839234</v>
      </c>
      <c r="H8" s="138">
        <f t="shared" si="13"/>
        <v>85698448.015356943</v>
      </c>
      <c r="I8" s="137">
        <f t="shared" si="14"/>
        <v>12529.012867742242</v>
      </c>
      <c r="J8" s="139">
        <f t="shared" si="15"/>
        <v>7517.4077206453449</v>
      </c>
      <c r="K8" s="167">
        <f t="shared" si="0"/>
        <v>2505.8025735484484</v>
      </c>
      <c r="L8" s="168">
        <f t="shared" si="1"/>
        <v>2505.8025735484484</v>
      </c>
      <c r="M8" s="169">
        <f>+pronostico!H7*20%</f>
        <v>10023.210294193794</v>
      </c>
      <c r="N8" s="170">
        <f t="shared" si="2"/>
        <v>85698448.015356943</v>
      </c>
      <c r="O8" s="171">
        <f t="shared" si="3"/>
        <v>34279379.206142776</v>
      </c>
      <c r="P8" s="170">
        <f t="shared" si="16"/>
        <v>5011.6051470968969</v>
      </c>
      <c r="Q8" s="172">
        <f t="shared" si="17"/>
        <v>5011.6051470968969</v>
      </c>
      <c r="R8" s="173">
        <f>+pronostico!H7*8%</f>
        <v>4009.2841176775173</v>
      </c>
      <c r="S8" s="174">
        <f t="shared" si="4"/>
        <v>34279379.206142776</v>
      </c>
      <c r="T8" s="175">
        <f t="shared" si="5"/>
        <v>13711751.682457112</v>
      </c>
      <c r="U8" s="173">
        <f>+pronostico!H7*8%</f>
        <v>4009.2841176775173</v>
      </c>
      <c r="V8" s="176">
        <f t="shared" si="6"/>
        <v>34279379.206142776</v>
      </c>
      <c r="W8" s="177">
        <f t="shared" si="7"/>
        <v>13711751.682457112</v>
      </c>
      <c r="X8" s="173">
        <f>+pronostico!H7*2%</f>
        <v>1002.3210294193793</v>
      </c>
      <c r="Y8" s="178">
        <f t="shared" si="8"/>
        <v>8569844.8015356939</v>
      </c>
      <c r="Z8" s="178">
        <f t="shared" si="9"/>
        <v>3427937.9206142779</v>
      </c>
      <c r="AA8" s="173">
        <f>+pronostico!H7*2%</f>
        <v>1002.3210294193793</v>
      </c>
      <c r="AB8" s="179">
        <f t="shared" si="10"/>
        <v>8569844.8015356939</v>
      </c>
      <c r="AC8" s="180">
        <f t="shared" si="11"/>
        <v>3427937.9206142779</v>
      </c>
      <c r="AD8" s="173">
        <f>+pronostico!H7*10%</f>
        <v>5011.6051470968969</v>
      </c>
      <c r="AE8" s="176">
        <f t="shared" si="18"/>
        <v>42849224.007678472</v>
      </c>
      <c r="AF8" s="177">
        <f t="shared" si="18"/>
        <v>17139689.603071388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+pronostico!H8*50%</f>
        <v>28357.351149106998</v>
      </c>
      <c r="G9" s="137">
        <f t="shared" si="13"/>
        <v>286409246.60598069</v>
      </c>
      <c r="H9" s="138">
        <f t="shared" si="13"/>
        <v>114563698.64239228</v>
      </c>
      <c r="I9" s="137">
        <f t="shared" si="14"/>
        <v>14178.675574553499</v>
      </c>
      <c r="J9" s="139">
        <f t="shared" si="15"/>
        <v>8507.2053447320995</v>
      </c>
      <c r="K9" s="167">
        <f t="shared" si="0"/>
        <v>2835.7351149106998</v>
      </c>
      <c r="L9" s="168">
        <f t="shared" si="1"/>
        <v>2835.7351149106998</v>
      </c>
      <c r="M9" s="169">
        <f>+pronostico!H8*20%</f>
        <v>11342.940459642799</v>
      </c>
      <c r="N9" s="170">
        <f t="shared" si="2"/>
        <v>114563698.64239228</v>
      </c>
      <c r="O9" s="171">
        <f t="shared" si="3"/>
        <v>45825479.456956916</v>
      </c>
      <c r="P9" s="170">
        <f t="shared" si="16"/>
        <v>5671.4702298213997</v>
      </c>
      <c r="Q9" s="172">
        <f t="shared" si="17"/>
        <v>5671.4702298213997</v>
      </c>
      <c r="R9" s="173">
        <f>+pronostico!H8*8%</f>
        <v>4537.1761838571201</v>
      </c>
      <c r="S9" s="174">
        <f t="shared" si="4"/>
        <v>45825479.456956916</v>
      </c>
      <c r="T9" s="175">
        <f t="shared" si="5"/>
        <v>18330191.782782767</v>
      </c>
      <c r="U9" s="173">
        <f>+pronostico!H8*8%</f>
        <v>4537.1761838571201</v>
      </c>
      <c r="V9" s="176">
        <f t="shared" si="6"/>
        <v>45825479.456956916</v>
      </c>
      <c r="W9" s="177">
        <f t="shared" si="7"/>
        <v>18330191.782782767</v>
      </c>
      <c r="X9" s="173">
        <f>+pronostico!H8*2%</f>
        <v>1134.29404596428</v>
      </c>
      <c r="Y9" s="178">
        <f t="shared" si="8"/>
        <v>11456369.864239229</v>
      </c>
      <c r="Z9" s="178">
        <f t="shared" si="9"/>
        <v>4582547.9456956917</v>
      </c>
      <c r="AA9" s="173">
        <f>+pronostico!H8*2%</f>
        <v>1134.29404596428</v>
      </c>
      <c r="AB9" s="179">
        <f t="shared" si="10"/>
        <v>11456369.864239229</v>
      </c>
      <c r="AC9" s="180">
        <f t="shared" si="11"/>
        <v>4582547.9456956917</v>
      </c>
      <c r="AD9" s="173">
        <f>+pronostico!H8*10%</f>
        <v>5671.4702298213997</v>
      </c>
      <c r="AE9" s="176">
        <f t="shared" si="18"/>
        <v>57281849.321196139</v>
      </c>
      <c r="AF9" s="177">
        <f t="shared" si="18"/>
        <v>22912739.728478458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+pronostico!H9*50%</f>
        <v>30632.048534613055</v>
      </c>
      <c r="G10" s="137">
        <f t="shared" si="13"/>
        <v>71678993.570994556</v>
      </c>
      <c r="H10" s="138">
        <f t="shared" si="13"/>
        <v>35839496.785497278</v>
      </c>
      <c r="I10" s="137">
        <f t="shared" si="14"/>
        <v>15316.024267306528</v>
      </c>
      <c r="J10" s="139">
        <f t="shared" si="15"/>
        <v>9189.6145603839159</v>
      </c>
      <c r="K10" s="167">
        <f t="shared" si="0"/>
        <v>3063.2048534613059</v>
      </c>
      <c r="L10" s="168">
        <f t="shared" si="1"/>
        <v>3063.2048534613059</v>
      </c>
      <c r="M10" s="169">
        <f>+pronostico!H9*20%</f>
        <v>12252.819413845224</v>
      </c>
      <c r="N10" s="170">
        <f t="shared" si="2"/>
        <v>28671597.428397823</v>
      </c>
      <c r="O10" s="171">
        <f t="shared" si="3"/>
        <v>14335798.714198912</v>
      </c>
      <c r="P10" s="170">
        <f t="shared" si="16"/>
        <v>6126.4097069226118</v>
      </c>
      <c r="Q10" s="172">
        <f t="shared" si="17"/>
        <v>6126.4097069226118</v>
      </c>
      <c r="R10" s="173">
        <f>+pronostico!H9*8%</f>
        <v>4901.1277655380891</v>
      </c>
      <c r="S10" s="174">
        <f t="shared" si="4"/>
        <v>11468638.971359128</v>
      </c>
      <c r="T10" s="175">
        <f t="shared" si="5"/>
        <v>5734319.4856795641</v>
      </c>
      <c r="U10" s="173">
        <f>+pronostico!H9*8%</f>
        <v>4901.1277655380891</v>
      </c>
      <c r="V10" s="176">
        <f t="shared" si="6"/>
        <v>11468638.971359128</v>
      </c>
      <c r="W10" s="177">
        <f t="shared" si="7"/>
        <v>5734319.4856795641</v>
      </c>
      <c r="X10" s="173">
        <f>+pronostico!H9*2%</f>
        <v>1225.2819413845223</v>
      </c>
      <c r="Y10" s="178">
        <f t="shared" si="8"/>
        <v>2867159.742839782</v>
      </c>
      <c r="Z10" s="178">
        <f t="shared" si="9"/>
        <v>1433579.871419891</v>
      </c>
      <c r="AA10" s="173">
        <f>+pronostico!H9*2%</f>
        <v>1225.2819413845223</v>
      </c>
      <c r="AB10" s="179">
        <f t="shared" si="10"/>
        <v>2867159.742839782</v>
      </c>
      <c r="AC10" s="180">
        <f t="shared" si="11"/>
        <v>1433579.871419891</v>
      </c>
      <c r="AD10" s="173">
        <f>+pronostico!H9*10%</f>
        <v>6126.4097069226118</v>
      </c>
      <c r="AE10" s="176">
        <f t="shared" si="18"/>
        <v>14335798.714198912</v>
      </c>
      <c r="AF10" s="177">
        <f t="shared" si="18"/>
        <v>7167899.3570994558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+pronostico!H10*50%</f>
        <v>12945.325790681025</v>
      </c>
      <c r="G11" s="137">
        <f t="shared" si="13"/>
        <v>30292062.350193597</v>
      </c>
      <c r="H11" s="138">
        <f t="shared" si="13"/>
        <v>15146031.175096799</v>
      </c>
      <c r="I11" s="137">
        <f t="shared" si="14"/>
        <v>6472.6628953405125</v>
      </c>
      <c r="J11" s="139">
        <f t="shared" si="15"/>
        <v>3883.5977372043071</v>
      </c>
      <c r="K11" s="167">
        <f t="shared" si="0"/>
        <v>1294.5325790681027</v>
      </c>
      <c r="L11" s="168">
        <f t="shared" si="1"/>
        <v>1294.5325790681027</v>
      </c>
      <c r="M11" s="169">
        <f>+pronostico!H10*20%</f>
        <v>5178.1303162724107</v>
      </c>
      <c r="N11" s="170">
        <f t="shared" si="2"/>
        <v>12116824.940077441</v>
      </c>
      <c r="O11" s="171">
        <f t="shared" si="3"/>
        <v>6058412.4700387204</v>
      </c>
      <c r="P11" s="170">
        <f t="shared" si="16"/>
        <v>2589.0651581362054</v>
      </c>
      <c r="Q11" s="172">
        <f t="shared" si="17"/>
        <v>2589.0651581362054</v>
      </c>
      <c r="R11" s="173">
        <f>+pronostico!H10*8%</f>
        <v>2071.252126508964</v>
      </c>
      <c r="S11" s="174">
        <f t="shared" si="4"/>
        <v>4846729.9760309756</v>
      </c>
      <c r="T11" s="175">
        <f t="shared" si="5"/>
        <v>2423364.9880154878</v>
      </c>
      <c r="U11" s="173">
        <f>+pronostico!H10*8%</f>
        <v>2071.252126508964</v>
      </c>
      <c r="V11" s="176">
        <f t="shared" si="6"/>
        <v>4846729.9760309756</v>
      </c>
      <c r="W11" s="177">
        <f t="shared" si="7"/>
        <v>2423364.9880154878</v>
      </c>
      <c r="X11" s="173">
        <f>+pronostico!H10*2%</f>
        <v>517.813031627241</v>
      </c>
      <c r="Y11" s="178">
        <f t="shared" si="8"/>
        <v>1211682.4940077439</v>
      </c>
      <c r="Z11" s="178">
        <f t="shared" si="9"/>
        <v>605841.24700387195</v>
      </c>
      <c r="AA11" s="173">
        <f>+pronostico!H10*2%</f>
        <v>517.813031627241</v>
      </c>
      <c r="AB11" s="179">
        <f t="shared" si="10"/>
        <v>1211682.4940077439</v>
      </c>
      <c r="AC11" s="180">
        <f t="shared" si="11"/>
        <v>605841.24700387195</v>
      </c>
      <c r="AD11" s="173">
        <f>+pronostico!H10*10%</f>
        <v>2589.0651581362054</v>
      </c>
      <c r="AE11" s="176">
        <f t="shared" si="18"/>
        <v>6058412.4700387204</v>
      </c>
      <c r="AF11" s="177">
        <f t="shared" si="18"/>
        <v>3029206.2350193602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+pronostico!H11*50%</f>
        <v>51326.290955154494</v>
      </c>
      <c r="G12" s="137">
        <f t="shared" si="13"/>
        <v>114970891.73954606</v>
      </c>
      <c r="H12" s="138">
        <f t="shared" si="13"/>
        <v>57485445.86977303</v>
      </c>
      <c r="I12" s="137">
        <f t="shared" si="14"/>
        <v>25663.145477577247</v>
      </c>
      <c r="J12" s="139">
        <f t="shared" si="15"/>
        <v>15397.887286546347</v>
      </c>
      <c r="K12" s="167">
        <f t="shared" si="0"/>
        <v>5132.62909551545</v>
      </c>
      <c r="L12" s="168">
        <f t="shared" si="1"/>
        <v>5132.62909551545</v>
      </c>
      <c r="M12" s="169">
        <f>+pronostico!H11*20%</f>
        <v>20530.5163820618</v>
      </c>
      <c r="N12" s="170">
        <f t="shared" si="2"/>
        <v>45988356.695818432</v>
      </c>
      <c r="O12" s="171">
        <f t="shared" si="3"/>
        <v>22994178.347909216</v>
      </c>
      <c r="P12" s="170">
        <f t="shared" si="16"/>
        <v>10265.2581910309</v>
      </c>
      <c r="Q12" s="172">
        <f t="shared" si="17"/>
        <v>10265.2581910309</v>
      </c>
      <c r="R12" s="173">
        <f>+pronostico!H11*8%</f>
        <v>8212.2065528247185</v>
      </c>
      <c r="S12" s="174">
        <f t="shared" si="4"/>
        <v>18395342.67832737</v>
      </c>
      <c r="T12" s="175">
        <f t="shared" si="5"/>
        <v>9197671.3391636852</v>
      </c>
      <c r="U12" s="173">
        <f>+pronostico!H11*8%</f>
        <v>8212.2065528247185</v>
      </c>
      <c r="V12" s="176">
        <f t="shared" si="6"/>
        <v>18395342.67832737</v>
      </c>
      <c r="W12" s="177">
        <f t="shared" si="7"/>
        <v>9197671.3391636852</v>
      </c>
      <c r="X12" s="173">
        <f>+pronostico!H11*2%</f>
        <v>2053.0516382061796</v>
      </c>
      <c r="Y12" s="178">
        <f t="shared" si="8"/>
        <v>4598835.6695818426</v>
      </c>
      <c r="Z12" s="178">
        <f t="shared" si="9"/>
        <v>2299417.8347909213</v>
      </c>
      <c r="AA12" s="173">
        <f>+pronostico!H11*2%</f>
        <v>2053.0516382061796</v>
      </c>
      <c r="AB12" s="179">
        <f t="shared" si="10"/>
        <v>4598835.6695818426</v>
      </c>
      <c r="AC12" s="180">
        <f t="shared" si="11"/>
        <v>2299417.8347909213</v>
      </c>
      <c r="AD12" s="173">
        <f>+pronostico!H11*10%</f>
        <v>10265.2581910309</v>
      </c>
      <c r="AE12" s="176">
        <f t="shared" si="18"/>
        <v>22994178.347909216</v>
      </c>
      <c r="AF12" s="177">
        <f t="shared" si="18"/>
        <v>11497089.173954608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+pronostico!H12*50%</f>
        <v>41976.018574926326</v>
      </c>
      <c r="G13" s="137">
        <f t="shared" si="13"/>
        <v>96544842.722330555</v>
      </c>
      <c r="H13" s="138">
        <f t="shared" si="13"/>
        <v>48272421.361165278</v>
      </c>
      <c r="I13" s="137">
        <f t="shared" si="14"/>
        <v>20988.009287463163</v>
      </c>
      <c r="J13" s="139">
        <f t="shared" si="15"/>
        <v>12592.805572477897</v>
      </c>
      <c r="K13" s="167">
        <f t="shared" si="0"/>
        <v>4197.6018574926329</v>
      </c>
      <c r="L13" s="168">
        <f t="shared" si="1"/>
        <v>4197.6018574926329</v>
      </c>
      <c r="M13" s="169">
        <f>+pronostico!H12*20%</f>
        <v>16790.407429970532</v>
      </c>
      <c r="N13" s="170">
        <f t="shared" si="2"/>
        <v>38617937.088932224</v>
      </c>
      <c r="O13" s="171">
        <f t="shared" si="3"/>
        <v>19308968.544466112</v>
      </c>
      <c r="P13" s="170">
        <f t="shared" si="16"/>
        <v>8395.2037149852658</v>
      </c>
      <c r="Q13" s="172">
        <f t="shared" si="17"/>
        <v>8395.2037149852658</v>
      </c>
      <c r="R13" s="173">
        <f>+pronostico!H12*8%</f>
        <v>6716.1629719882121</v>
      </c>
      <c r="S13" s="174">
        <f t="shared" si="4"/>
        <v>15447174.835572887</v>
      </c>
      <c r="T13" s="175">
        <f t="shared" si="5"/>
        <v>7723587.4177864436</v>
      </c>
      <c r="U13" s="173">
        <f>+pronostico!H12*8%</f>
        <v>6716.1629719882121</v>
      </c>
      <c r="V13" s="176">
        <f t="shared" si="6"/>
        <v>15447174.835572887</v>
      </c>
      <c r="W13" s="177">
        <f t="shared" si="7"/>
        <v>7723587.4177864436</v>
      </c>
      <c r="X13" s="173">
        <f>+pronostico!H12*2%</f>
        <v>1679.040742997053</v>
      </c>
      <c r="Y13" s="178">
        <f t="shared" si="8"/>
        <v>3861793.7088932218</v>
      </c>
      <c r="Z13" s="178">
        <f t="shared" si="9"/>
        <v>1930896.8544466109</v>
      </c>
      <c r="AA13" s="173">
        <f>+pronostico!H12*2%</f>
        <v>1679.040742997053</v>
      </c>
      <c r="AB13" s="179">
        <f t="shared" si="10"/>
        <v>3861793.7088932218</v>
      </c>
      <c r="AC13" s="180">
        <f t="shared" si="11"/>
        <v>1930896.8544466109</v>
      </c>
      <c r="AD13" s="173">
        <f>+pronostico!H12*10%</f>
        <v>8395.2037149852658</v>
      </c>
      <c r="AE13" s="176">
        <f t="shared" si="18"/>
        <v>19308968.544466112</v>
      </c>
      <c r="AF13" s="177">
        <f t="shared" si="18"/>
        <v>9654484.2722330559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+pronostico!H13*50%</f>
        <v>27091.83158412822</v>
      </c>
      <c r="G14" s="137">
        <f t="shared" si="13"/>
        <v>34135707.796001561</v>
      </c>
      <c r="H14" s="138">
        <f t="shared" si="13"/>
        <v>17067853.89800078</v>
      </c>
      <c r="I14" s="137">
        <f t="shared" si="14"/>
        <v>13545.91579206411</v>
      </c>
      <c r="J14" s="139">
        <f t="shared" si="15"/>
        <v>8127.5494752384657</v>
      </c>
      <c r="K14" s="167">
        <f t="shared" si="0"/>
        <v>2709.1831584128222</v>
      </c>
      <c r="L14" s="168">
        <f t="shared" si="1"/>
        <v>2709.1831584128222</v>
      </c>
      <c r="M14" s="169">
        <f>+pronostico!H13*20%</f>
        <v>10836.732633651289</v>
      </c>
      <c r="N14" s="170">
        <f t="shared" si="2"/>
        <v>13654283.118400624</v>
      </c>
      <c r="O14" s="171">
        <f t="shared" si="3"/>
        <v>6827141.559200312</v>
      </c>
      <c r="P14" s="170">
        <f t="shared" si="16"/>
        <v>5418.3663168256444</v>
      </c>
      <c r="Q14" s="172">
        <f t="shared" si="17"/>
        <v>5418.3663168256444</v>
      </c>
      <c r="R14" s="173">
        <f>+pronostico!H13*8%</f>
        <v>4334.6930534605153</v>
      </c>
      <c r="S14" s="174">
        <f t="shared" si="4"/>
        <v>5461713.247360249</v>
      </c>
      <c r="T14" s="175">
        <f t="shared" si="5"/>
        <v>2730856.6236801245</v>
      </c>
      <c r="U14" s="173">
        <f>+pronostico!H13*8%</f>
        <v>4334.6930534605153</v>
      </c>
      <c r="V14" s="176">
        <f t="shared" si="6"/>
        <v>5461713.247360249</v>
      </c>
      <c r="W14" s="177">
        <f t="shared" si="7"/>
        <v>2730856.6236801245</v>
      </c>
      <c r="X14" s="173">
        <f>+pronostico!H13*2%</f>
        <v>1083.6732633651288</v>
      </c>
      <c r="Y14" s="178">
        <f t="shared" si="8"/>
        <v>1365428.3118400623</v>
      </c>
      <c r="Z14" s="178">
        <f t="shared" si="9"/>
        <v>682714.15592003113</v>
      </c>
      <c r="AA14" s="173">
        <f>+pronostico!H13*2%</f>
        <v>1083.6732633651288</v>
      </c>
      <c r="AB14" s="179">
        <f t="shared" si="10"/>
        <v>1365428.3118400623</v>
      </c>
      <c r="AC14" s="180">
        <f t="shared" si="11"/>
        <v>682714.15592003113</v>
      </c>
      <c r="AD14" s="173">
        <f>+pronostico!H13*10%</f>
        <v>5418.3663168256444</v>
      </c>
      <c r="AE14" s="176">
        <f t="shared" si="18"/>
        <v>6827141.559200312</v>
      </c>
      <c r="AF14" s="177">
        <f t="shared" si="18"/>
        <v>3413570.779600156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+pronostico!H14*50%</f>
        <v>21255.663527209981</v>
      </c>
      <c r="G15" s="137">
        <f t="shared" si="13"/>
        <v>26782136.044284575</v>
      </c>
      <c r="H15" s="138">
        <f t="shared" si="13"/>
        <v>13391068.022142287</v>
      </c>
      <c r="I15" s="137">
        <f t="shared" si="14"/>
        <v>10627.831763604991</v>
      </c>
      <c r="J15" s="139">
        <f t="shared" si="15"/>
        <v>6376.6990581629943</v>
      </c>
      <c r="K15" s="167">
        <f t="shared" si="0"/>
        <v>2125.5663527209981</v>
      </c>
      <c r="L15" s="168">
        <f t="shared" si="1"/>
        <v>2125.5663527209981</v>
      </c>
      <c r="M15" s="169">
        <f>+pronostico!H14*20%</f>
        <v>8502.2654108839924</v>
      </c>
      <c r="N15" s="170">
        <f t="shared" si="2"/>
        <v>10712854.41771383</v>
      </c>
      <c r="O15" s="171">
        <f t="shared" si="3"/>
        <v>5356427.2088569151</v>
      </c>
      <c r="P15" s="170">
        <f t="shared" si="16"/>
        <v>4251.1327054419962</v>
      </c>
      <c r="Q15" s="172">
        <f t="shared" si="17"/>
        <v>4251.1327054419962</v>
      </c>
      <c r="R15" s="173">
        <f>+pronostico!H14*8%</f>
        <v>3400.906164353597</v>
      </c>
      <c r="S15" s="174">
        <f t="shared" si="4"/>
        <v>4285141.7670855317</v>
      </c>
      <c r="T15" s="175">
        <f t="shared" si="5"/>
        <v>2142570.8835427659</v>
      </c>
      <c r="U15" s="173">
        <f>+pronostico!H14*8%</f>
        <v>3400.906164353597</v>
      </c>
      <c r="V15" s="176">
        <f t="shared" si="6"/>
        <v>4285141.7670855317</v>
      </c>
      <c r="W15" s="177">
        <f t="shared" si="7"/>
        <v>2142570.8835427659</v>
      </c>
      <c r="X15" s="173">
        <f>+pronostico!H14*2%</f>
        <v>850.22654108839924</v>
      </c>
      <c r="Y15" s="178">
        <f t="shared" si="8"/>
        <v>1071285.4417713829</v>
      </c>
      <c r="Z15" s="178">
        <f t="shared" si="9"/>
        <v>535642.72088569147</v>
      </c>
      <c r="AA15" s="173">
        <f>+pronostico!H14*2%</f>
        <v>850.22654108839924</v>
      </c>
      <c r="AB15" s="179">
        <f t="shared" si="10"/>
        <v>1071285.4417713829</v>
      </c>
      <c r="AC15" s="180">
        <f t="shared" si="11"/>
        <v>535642.72088569147</v>
      </c>
      <c r="AD15" s="173">
        <f>+pronostico!H14*10%</f>
        <v>4251.1327054419962</v>
      </c>
      <c r="AE15" s="176">
        <f t="shared" si="18"/>
        <v>5356427.2088569151</v>
      </c>
      <c r="AF15" s="177">
        <f t="shared" si="18"/>
        <v>2678213.6044284576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+pronostico!H15*50%</f>
        <v>31074.004419385612</v>
      </c>
      <c r="G16" s="137">
        <f t="shared" si="13"/>
        <v>84210551.976535007</v>
      </c>
      <c r="H16" s="138">
        <f t="shared" si="13"/>
        <v>42105275.988267504</v>
      </c>
      <c r="I16" s="137">
        <f t="shared" si="14"/>
        <v>15537.002209692806</v>
      </c>
      <c r="J16" s="139">
        <f t="shared" si="15"/>
        <v>9322.201325815684</v>
      </c>
      <c r="K16" s="167">
        <f t="shared" si="0"/>
        <v>3107.4004419385615</v>
      </c>
      <c r="L16" s="168">
        <f t="shared" si="1"/>
        <v>3107.4004419385615</v>
      </c>
      <c r="M16" s="169">
        <f>+pronostico!H15*20%</f>
        <v>12429.601767754246</v>
      </c>
      <c r="N16" s="170">
        <f t="shared" si="2"/>
        <v>33684220.790614009</v>
      </c>
      <c r="O16" s="171">
        <f t="shared" si="3"/>
        <v>16842110.395307004</v>
      </c>
      <c r="P16" s="170">
        <f t="shared" si="16"/>
        <v>6214.8008838771229</v>
      </c>
      <c r="Q16" s="172">
        <f t="shared" si="17"/>
        <v>6214.8008838771229</v>
      </c>
      <c r="R16" s="173">
        <f>+pronostico!H15*8%</f>
        <v>4971.8407071016982</v>
      </c>
      <c r="S16" s="174">
        <f t="shared" si="4"/>
        <v>13473688.316245602</v>
      </c>
      <c r="T16" s="175">
        <f t="shared" si="5"/>
        <v>6736844.1581228012</v>
      </c>
      <c r="U16" s="173">
        <f>+pronostico!H15*8%</f>
        <v>4971.8407071016982</v>
      </c>
      <c r="V16" s="176">
        <f t="shared" si="6"/>
        <v>13473688.316245602</v>
      </c>
      <c r="W16" s="177">
        <f t="shared" si="7"/>
        <v>6736844.1581228012</v>
      </c>
      <c r="X16" s="173">
        <f>+pronostico!H15*2%</f>
        <v>1242.9601767754245</v>
      </c>
      <c r="Y16" s="178">
        <f t="shared" si="8"/>
        <v>3368422.0790614006</v>
      </c>
      <c r="Z16" s="178">
        <f t="shared" si="9"/>
        <v>1684211.0395307003</v>
      </c>
      <c r="AA16" s="173">
        <f>+pronostico!H15*2%</f>
        <v>1242.9601767754245</v>
      </c>
      <c r="AB16" s="179">
        <f t="shared" si="10"/>
        <v>3368422.0790614006</v>
      </c>
      <c r="AC16" s="180">
        <f t="shared" si="11"/>
        <v>1684211.0395307003</v>
      </c>
      <c r="AD16" s="173">
        <f>+pronostico!H15*10%</f>
        <v>6214.8008838771229</v>
      </c>
      <c r="AE16" s="176">
        <f t="shared" si="18"/>
        <v>16842110.395307004</v>
      </c>
      <c r="AF16" s="177">
        <f t="shared" si="18"/>
        <v>8421055.1976535022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+pronostico!H16*50%</f>
        <v>30617.033766159333</v>
      </c>
      <c r="G17" s="137">
        <f t="shared" si="13"/>
        <v>45313209.973915815</v>
      </c>
      <c r="H17" s="138">
        <f t="shared" si="13"/>
        <v>22656604.986957908</v>
      </c>
      <c r="I17" s="137">
        <f t="shared" si="14"/>
        <v>15308.516883079667</v>
      </c>
      <c r="J17" s="139">
        <f t="shared" si="15"/>
        <v>9185.1101298477988</v>
      </c>
      <c r="K17" s="167">
        <f t="shared" si="0"/>
        <v>3061.7033766159334</v>
      </c>
      <c r="L17" s="168">
        <f t="shared" si="1"/>
        <v>3061.7033766159334</v>
      </c>
      <c r="M17" s="169">
        <f>+pronostico!H16*20%</f>
        <v>12246.813506463734</v>
      </c>
      <c r="N17" s="170">
        <f t="shared" si="2"/>
        <v>18125283.989566326</v>
      </c>
      <c r="O17" s="171">
        <f t="shared" si="3"/>
        <v>9062641.9947831631</v>
      </c>
      <c r="P17" s="170">
        <f t="shared" si="16"/>
        <v>6123.4067532318668</v>
      </c>
      <c r="Q17" s="172">
        <f t="shared" si="17"/>
        <v>6123.4067532318668</v>
      </c>
      <c r="R17" s="173">
        <f>+pronostico!H16*8%</f>
        <v>4898.7254025854936</v>
      </c>
      <c r="S17" s="174">
        <f t="shared" si="4"/>
        <v>7250113.5958265308</v>
      </c>
      <c r="T17" s="175">
        <f t="shared" si="5"/>
        <v>3625056.7979132654</v>
      </c>
      <c r="U17" s="173">
        <f>+pronostico!H16*8%</f>
        <v>4898.7254025854936</v>
      </c>
      <c r="V17" s="176">
        <f t="shared" si="6"/>
        <v>7250113.5958265308</v>
      </c>
      <c r="W17" s="177">
        <f t="shared" si="7"/>
        <v>3625056.7979132654</v>
      </c>
      <c r="X17" s="173">
        <f>+pronostico!H16*2%</f>
        <v>1224.6813506463734</v>
      </c>
      <c r="Y17" s="178">
        <f t="shared" si="8"/>
        <v>1812528.3989566327</v>
      </c>
      <c r="Z17" s="178">
        <f t="shared" si="9"/>
        <v>906264.19947831635</v>
      </c>
      <c r="AA17" s="173">
        <f>+pronostico!H16*2%</f>
        <v>1224.6813506463734</v>
      </c>
      <c r="AB17" s="179">
        <f t="shared" si="10"/>
        <v>1812528.3989566327</v>
      </c>
      <c r="AC17" s="180">
        <f t="shared" si="11"/>
        <v>906264.19947831635</v>
      </c>
      <c r="AD17" s="173">
        <f>+pronostico!H16*10%</f>
        <v>6123.4067532318668</v>
      </c>
      <c r="AE17" s="176">
        <f t="shared" si="18"/>
        <v>9062641.9947831631</v>
      </c>
      <c r="AF17" s="177">
        <f t="shared" si="18"/>
        <v>4531320.9973915815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+pronostico!H17*50%</f>
        <v>74115.714999999997</v>
      </c>
      <c r="G18" s="137">
        <f t="shared" si="13"/>
        <v>174913087.40000001</v>
      </c>
      <c r="H18" s="138">
        <f t="shared" si="13"/>
        <v>87456543.700000003</v>
      </c>
      <c r="I18" s="137">
        <f t="shared" si="14"/>
        <v>37057.857499999998</v>
      </c>
      <c r="J18" s="139">
        <f t="shared" si="15"/>
        <v>22234.714499999998</v>
      </c>
      <c r="K18" s="167">
        <f t="shared" si="0"/>
        <v>7411.5715</v>
      </c>
      <c r="L18" s="168">
        <f t="shared" si="1"/>
        <v>7411.5715</v>
      </c>
      <c r="M18" s="169">
        <f>+pronostico!H17*20%</f>
        <v>29646.286</v>
      </c>
      <c r="N18" s="170">
        <f t="shared" si="2"/>
        <v>69965234.959999993</v>
      </c>
      <c r="O18" s="171">
        <f t="shared" si="3"/>
        <v>34982617.479999997</v>
      </c>
      <c r="P18" s="170">
        <f t="shared" si="16"/>
        <v>14823.143</v>
      </c>
      <c r="Q18" s="172">
        <f t="shared" si="17"/>
        <v>14823.143</v>
      </c>
      <c r="R18" s="173">
        <f>+pronostico!H17*8%</f>
        <v>11858.5144</v>
      </c>
      <c r="S18" s="174">
        <f t="shared" si="4"/>
        <v>27986093.984000001</v>
      </c>
      <c r="T18" s="175">
        <f t="shared" si="5"/>
        <v>13993046.992000001</v>
      </c>
      <c r="U18" s="173">
        <f>+pronostico!H17*8%</f>
        <v>11858.5144</v>
      </c>
      <c r="V18" s="176">
        <f t="shared" si="6"/>
        <v>27986093.984000001</v>
      </c>
      <c r="W18" s="177">
        <f t="shared" si="7"/>
        <v>13993046.992000001</v>
      </c>
      <c r="X18" s="173">
        <f>+pronostico!H17*2%</f>
        <v>2964.6286</v>
      </c>
      <c r="Y18" s="178">
        <f t="shared" si="8"/>
        <v>6996523.4960000003</v>
      </c>
      <c r="Z18" s="178">
        <f t="shared" si="9"/>
        <v>3498261.7480000001</v>
      </c>
      <c r="AA18" s="173">
        <f>+pronostico!H17*2%</f>
        <v>2964.6286</v>
      </c>
      <c r="AB18" s="179">
        <f t="shared" si="10"/>
        <v>6996523.4960000003</v>
      </c>
      <c r="AC18" s="180">
        <f t="shared" si="11"/>
        <v>3498261.7480000001</v>
      </c>
      <c r="AD18" s="173">
        <f>+pronostico!H17*10%</f>
        <v>14823.143</v>
      </c>
      <c r="AE18" s="176">
        <f t="shared" si="18"/>
        <v>34982617.479999997</v>
      </c>
      <c r="AF18" s="177">
        <f t="shared" si="18"/>
        <v>17491308.739999998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+pronostico!H18*50%</f>
        <v>17304.465</v>
      </c>
      <c r="G19" s="137">
        <f t="shared" si="13"/>
        <v>86522325</v>
      </c>
      <c r="H19" s="138">
        <f t="shared" si="13"/>
        <v>34608930</v>
      </c>
      <c r="I19" s="137">
        <f>+F19*60%</f>
        <v>10382.679</v>
      </c>
      <c r="J19" s="139">
        <f t="shared" si="15"/>
        <v>5191.3395</v>
      </c>
      <c r="K19" s="167">
        <f t="shared" si="0"/>
        <v>1730.4465</v>
      </c>
      <c r="L19" s="168" t="s">
        <v>21</v>
      </c>
      <c r="M19" s="169">
        <f>+pronostico!H18*20%</f>
        <v>6921.7860000000001</v>
      </c>
      <c r="N19" s="170">
        <f t="shared" si="2"/>
        <v>34608930</v>
      </c>
      <c r="O19" s="171">
        <f t="shared" si="3"/>
        <v>13843572</v>
      </c>
      <c r="P19" s="170">
        <f t="shared" si="16"/>
        <v>3460.893</v>
      </c>
      <c r="Q19" s="172">
        <f t="shared" si="17"/>
        <v>3460.893</v>
      </c>
      <c r="R19" s="173">
        <f>+pronostico!H18*8%</f>
        <v>2768.7144000000003</v>
      </c>
      <c r="S19" s="174">
        <f t="shared" si="4"/>
        <v>13843572.000000002</v>
      </c>
      <c r="T19" s="175">
        <f t="shared" si="5"/>
        <v>5537428.8000000007</v>
      </c>
      <c r="U19" s="173">
        <f>+pronostico!H18*8%</f>
        <v>2768.7144000000003</v>
      </c>
      <c r="V19" s="176">
        <f t="shared" si="6"/>
        <v>13843572.000000002</v>
      </c>
      <c r="W19" s="177">
        <f t="shared" si="7"/>
        <v>5537428.8000000007</v>
      </c>
      <c r="X19" s="173">
        <f>+pronostico!H18*2%</f>
        <v>692.17860000000007</v>
      </c>
      <c r="Y19" s="178">
        <f t="shared" si="8"/>
        <v>3460893.0000000005</v>
      </c>
      <c r="Z19" s="178">
        <f t="shared" si="9"/>
        <v>1384357.2000000002</v>
      </c>
      <c r="AA19" s="173">
        <f>+pronostico!H18*2%</f>
        <v>692.17860000000007</v>
      </c>
      <c r="AB19" s="179">
        <f t="shared" si="10"/>
        <v>3460893.0000000005</v>
      </c>
      <c r="AC19" s="180">
        <f t="shared" si="11"/>
        <v>1384357.2000000002</v>
      </c>
      <c r="AD19" s="173">
        <f>+pronostico!H18*10%</f>
        <v>3460.893</v>
      </c>
      <c r="AE19" s="176">
        <f t="shared" si="18"/>
        <v>17304465</v>
      </c>
      <c r="AF19" s="177">
        <f t="shared" si="18"/>
        <v>6921786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+pronostico!H19*50%</f>
        <v>12474.3</v>
      </c>
      <c r="G20" s="137">
        <f t="shared" si="13"/>
        <v>44782737</v>
      </c>
      <c r="H20" s="138">
        <f t="shared" si="13"/>
        <v>17913094.800000001</v>
      </c>
      <c r="I20" s="137">
        <f t="shared" si="14"/>
        <v>6237.15</v>
      </c>
      <c r="J20" s="139">
        <f t="shared" si="15"/>
        <v>3742.2899999999995</v>
      </c>
      <c r="K20" s="167">
        <f t="shared" si="0"/>
        <v>1247.43</v>
      </c>
      <c r="L20" s="168">
        <f>+F20*10%</f>
        <v>1247.43</v>
      </c>
      <c r="M20" s="169">
        <f>+pronostico!H19*20%</f>
        <v>4989.72</v>
      </c>
      <c r="N20" s="170">
        <f t="shared" si="2"/>
        <v>17913094.800000001</v>
      </c>
      <c r="O20" s="171">
        <f t="shared" si="3"/>
        <v>7165237.9200000009</v>
      </c>
      <c r="P20" s="170">
        <f t="shared" si="16"/>
        <v>2494.86</v>
      </c>
      <c r="Q20" s="172">
        <f t="shared" si="17"/>
        <v>2494.86</v>
      </c>
      <c r="R20" s="173">
        <f>+pronostico!H19*8%</f>
        <v>1995.8879999999999</v>
      </c>
      <c r="S20" s="174">
        <f t="shared" si="4"/>
        <v>7165237.9199999999</v>
      </c>
      <c r="T20" s="175">
        <f t="shared" si="5"/>
        <v>2866095.1680000001</v>
      </c>
      <c r="U20" s="173">
        <f>+pronostico!H19*8%</f>
        <v>1995.8879999999999</v>
      </c>
      <c r="V20" s="176">
        <f t="shared" si="6"/>
        <v>7165237.9199999999</v>
      </c>
      <c r="W20" s="177">
        <f t="shared" si="7"/>
        <v>2866095.1680000001</v>
      </c>
      <c r="X20" s="173">
        <f>+pronostico!H19*2%</f>
        <v>498.97199999999998</v>
      </c>
      <c r="Y20" s="178">
        <f t="shared" si="8"/>
        <v>1791309.48</v>
      </c>
      <c r="Z20" s="178">
        <f t="shared" si="9"/>
        <v>716523.79200000002</v>
      </c>
      <c r="AA20" s="173">
        <f>+pronostico!H19*2%</f>
        <v>498.97199999999998</v>
      </c>
      <c r="AB20" s="179">
        <f t="shared" si="10"/>
        <v>1791309.48</v>
      </c>
      <c r="AC20" s="180">
        <f t="shared" si="11"/>
        <v>716523.79200000002</v>
      </c>
      <c r="AD20" s="173">
        <f>+pronostico!H19*10%</f>
        <v>2494.86</v>
      </c>
      <c r="AE20" s="176">
        <f t="shared" si="18"/>
        <v>8956547.4000000004</v>
      </c>
      <c r="AF20" s="177">
        <f t="shared" si="18"/>
        <v>3582618.9600000004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+pronostico!H20*50%</f>
        <v>11894.1</v>
      </c>
      <c r="G21" s="137">
        <f t="shared" si="13"/>
        <v>146654253</v>
      </c>
      <c r="H21" s="138">
        <f t="shared" si="13"/>
        <v>58661701.200000003</v>
      </c>
      <c r="I21" s="137">
        <f>+F21*60%</f>
        <v>7136.46</v>
      </c>
      <c r="J21" s="139">
        <f t="shared" si="15"/>
        <v>3568.23</v>
      </c>
      <c r="K21" s="167">
        <f t="shared" si="0"/>
        <v>1189.4100000000001</v>
      </c>
      <c r="L21" s="168" t="s">
        <v>21</v>
      </c>
      <c r="M21" s="169">
        <f>+pronostico!H20*20%</f>
        <v>4757.6400000000003</v>
      </c>
      <c r="N21" s="170">
        <f t="shared" si="2"/>
        <v>58661701.200000003</v>
      </c>
      <c r="O21" s="171">
        <f t="shared" si="3"/>
        <v>23464680.480000004</v>
      </c>
      <c r="P21" s="170">
        <f t="shared" si="16"/>
        <v>2378.8200000000002</v>
      </c>
      <c r="Q21" s="172">
        <f t="shared" si="17"/>
        <v>2378.8200000000002</v>
      </c>
      <c r="R21" s="173">
        <f>+pronostico!H20*8%</f>
        <v>1903.056</v>
      </c>
      <c r="S21" s="174">
        <f t="shared" si="4"/>
        <v>23464680.48</v>
      </c>
      <c r="T21" s="175">
        <f t="shared" si="5"/>
        <v>9385872.1919999998</v>
      </c>
      <c r="U21" s="173">
        <f>+pronostico!H20*8%</f>
        <v>1903.056</v>
      </c>
      <c r="V21" s="176">
        <f t="shared" si="6"/>
        <v>23464680.48</v>
      </c>
      <c r="W21" s="177">
        <f t="shared" si="7"/>
        <v>9385872.1919999998</v>
      </c>
      <c r="X21" s="173">
        <f>+pronostico!H20*2%</f>
        <v>475.76400000000001</v>
      </c>
      <c r="Y21" s="178">
        <f t="shared" si="8"/>
        <v>5866170.1200000001</v>
      </c>
      <c r="Z21" s="178">
        <f t="shared" si="9"/>
        <v>2346468.048</v>
      </c>
      <c r="AA21" s="173">
        <f>+pronostico!H20*2%</f>
        <v>475.76400000000001</v>
      </c>
      <c r="AB21" s="179">
        <f t="shared" si="10"/>
        <v>5866170.1200000001</v>
      </c>
      <c r="AC21" s="180">
        <f t="shared" si="11"/>
        <v>2346468.048</v>
      </c>
      <c r="AD21" s="173">
        <f>+pronostico!H20*10%</f>
        <v>2378.8200000000002</v>
      </c>
      <c r="AE21" s="176">
        <f t="shared" ref="AE21:AF36" si="20">+AD21*D21</f>
        <v>29330850.600000001</v>
      </c>
      <c r="AF21" s="177">
        <f t="shared" si="20"/>
        <v>11732340.240000002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+pronostico!H21*50%</f>
        <v>10429.094999999999</v>
      </c>
      <c r="G22" s="137">
        <f t="shared" si="13"/>
        <v>78009630.599999994</v>
      </c>
      <c r="H22" s="138">
        <f t="shared" si="13"/>
        <v>31203852.239999998</v>
      </c>
      <c r="I22" s="137">
        <f t="shared" ref="I22:I51" si="21">+F22*60%</f>
        <v>6257.4569999999994</v>
      </c>
      <c r="J22" s="139">
        <f t="shared" si="15"/>
        <v>3128.7284999999997</v>
      </c>
      <c r="K22" s="167">
        <f t="shared" si="0"/>
        <v>1042.9095</v>
      </c>
      <c r="L22" s="168" t="s">
        <v>21</v>
      </c>
      <c r="M22" s="169">
        <f>+pronostico!H21*20%</f>
        <v>4171.6379999999999</v>
      </c>
      <c r="N22" s="170">
        <f t="shared" si="2"/>
        <v>31203852.239999998</v>
      </c>
      <c r="O22" s="171">
        <f t="shared" si="3"/>
        <v>12481540.896</v>
      </c>
      <c r="P22" s="170">
        <f t="shared" si="16"/>
        <v>2085.819</v>
      </c>
      <c r="Q22" s="172">
        <f t="shared" si="17"/>
        <v>2085.819</v>
      </c>
      <c r="R22" s="173">
        <f>+pronostico!H21*8%</f>
        <v>1668.6551999999999</v>
      </c>
      <c r="S22" s="174">
        <f t="shared" si="4"/>
        <v>12481540.896</v>
      </c>
      <c r="T22" s="175">
        <f t="shared" si="5"/>
        <v>4992616.3584000003</v>
      </c>
      <c r="U22" s="173">
        <f>+pronostico!H21*8%</f>
        <v>1668.6551999999999</v>
      </c>
      <c r="V22" s="176">
        <f t="shared" si="6"/>
        <v>12481540.896</v>
      </c>
      <c r="W22" s="177">
        <f t="shared" si="7"/>
        <v>4992616.3584000003</v>
      </c>
      <c r="X22" s="173">
        <f>+pronostico!H21*2%</f>
        <v>417.16379999999998</v>
      </c>
      <c r="Y22" s="178">
        <f t="shared" si="8"/>
        <v>3120385.2239999999</v>
      </c>
      <c r="Z22" s="178">
        <f t="shared" si="9"/>
        <v>1248154.0896000001</v>
      </c>
      <c r="AA22" s="173">
        <f>+pronostico!H21*2%</f>
        <v>417.16379999999998</v>
      </c>
      <c r="AB22" s="179">
        <f t="shared" si="10"/>
        <v>3120385.2239999999</v>
      </c>
      <c r="AC22" s="180">
        <f t="shared" si="11"/>
        <v>1248154.0896000001</v>
      </c>
      <c r="AD22" s="173">
        <f>+pronostico!H21*10%</f>
        <v>2085.819</v>
      </c>
      <c r="AE22" s="176">
        <f t="shared" si="20"/>
        <v>15601926.119999999</v>
      </c>
      <c r="AF22" s="177">
        <f t="shared" si="20"/>
        <v>6240770.4479999999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+pronostico!H22*50%</f>
        <v>7059.0999999999995</v>
      </c>
      <c r="G23" s="137">
        <f t="shared" si="13"/>
        <v>28942309.999999996</v>
      </c>
      <c r="H23" s="138">
        <f t="shared" si="13"/>
        <v>11576924</v>
      </c>
      <c r="I23" s="137">
        <f t="shared" si="21"/>
        <v>4235.4599999999991</v>
      </c>
      <c r="J23" s="139">
        <f t="shared" si="15"/>
        <v>2117.7299999999996</v>
      </c>
      <c r="K23" s="167">
        <f t="shared" si="0"/>
        <v>705.91</v>
      </c>
      <c r="L23" s="168" t="s">
        <v>21</v>
      </c>
      <c r="M23" s="169">
        <f>+pronostico!H22*20%</f>
        <v>2823.64</v>
      </c>
      <c r="N23" s="170">
        <f t="shared" si="2"/>
        <v>11576924</v>
      </c>
      <c r="O23" s="171">
        <f t="shared" si="3"/>
        <v>4630769.6000000006</v>
      </c>
      <c r="P23" s="170">
        <f t="shared" si="16"/>
        <v>1411.82</v>
      </c>
      <c r="Q23" s="172">
        <f t="shared" si="17"/>
        <v>1411.82</v>
      </c>
      <c r="R23" s="173">
        <f>+pronostico!H22*8%</f>
        <v>1129.4559999999999</v>
      </c>
      <c r="S23" s="174">
        <f t="shared" si="4"/>
        <v>4630769.5999999996</v>
      </c>
      <c r="T23" s="175">
        <f t="shared" si="5"/>
        <v>1852307.8399999999</v>
      </c>
      <c r="U23" s="173">
        <f>+pronostico!H22*8%</f>
        <v>1129.4559999999999</v>
      </c>
      <c r="V23" s="176">
        <f t="shared" si="6"/>
        <v>4630769.5999999996</v>
      </c>
      <c r="W23" s="177">
        <f t="shared" si="7"/>
        <v>1852307.8399999999</v>
      </c>
      <c r="X23" s="173">
        <f>+pronostico!H22*2%</f>
        <v>282.36399999999998</v>
      </c>
      <c r="Y23" s="178">
        <f t="shared" si="8"/>
        <v>1157692.3999999999</v>
      </c>
      <c r="Z23" s="178">
        <f t="shared" si="9"/>
        <v>463076.95999999996</v>
      </c>
      <c r="AA23" s="173">
        <f>+pronostico!H22*2%</f>
        <v>282.36399999999998</v>
      </c>
      <c r="AB23" s="179">
        <f t="shared" si="10"/>
        <v>1157692.3999999999</v>
      </c>
      <c r="AC23" s="180">
        <f t="shared" si="11"/>
        <v>463076.95999999996</v>
      </c>
      <c r="AD23" s="173">
        <f>+pronostico!H22*10%</f>
        <v>1411.82</v>
      </c>
      <c r="AE23" s="176">
        <f t="shared" si="20"/>
        <v>5788462</v>
      </c>
      <c r="AF23" s="177">
        <f t="shared" si="20"/>
        <v>2315384.8000000003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+pronostico!H23*50%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+pronostico!H23*20%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+pronostico!H23*8%</f>
        <v>2000</v>
      </c>
      <c r="S24" s="174">
        <f t="shared" si="4"/>
        <v>6600000</v>
      </c>
      <c r="T24" s="175">
        <f t="shared" si="5"/>
        <v>3300000</v>
      </c>
      <c r="U24" s="173">
        <f>+pronostico!H23*8%</f>
        <v>2000</v>
      </c>
      <c r="V24" s="176">
        <f t="shared" si="6"/>
        <v>6600000</v>
      </c>
      <c r="W24" s="177">
        <f t="shared" si="7"/>
        <v>3300000</v>
      </c>
      <c r="X24" s="173">
        <f>+pronostico!H23*2%</f>
        <v>500</v>
      </c>
      <c r="Y24" s="178">
        <f t="shared" si="8"/>
        <v>1650000</v>
      </c>
      <c r="Z24" s="178">
        <f t="shared" si="9"/>
        <v>825000</v>
      </c>
      <c r="AA24" s="173">
        <f>+pronostico!H23*2%</f>
        <v>500</v>
      </c>
      <c r="AB24" s="179">
        <f t="shared" si="10"/>
        <v>1650000</v>
      </c>
      <c r="AC24" s="180">
        <f t="shared" si="11"/>
        <v>825000</v>
      </c>
      <c r="AD24" s="173">
        <f>+pronostico!H23*10%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+pronostico!H24*50%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+pronostico!H24*20%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+pronostico!H24*8%</f>
        <v>2400</v>
      </c>
      <c r="S25" s="174">
        <f t="shared" si="4"/>
        <v>7200000</v>
      </c>
      <c r="T25" s="175">
        <f t="shared" si="5"/>
        <v>3600000</v>
      </c>
      <c r="U25" s="173">
        <f>+pronostico!H24*8%</f>
        <v>2400</v>
      </c>
      <c r="V25" s="176">
        <f t="shared" si="6"/>
        <v>7200000</v>
      </c>
      <c r="W25" s="177">
        <f t="shared" si="7"/>
        <v>3600000</v>
      </c>
      <c r="X25" s="173">
        <f>+pronostico!H24*2%</f>
        <v>600</v>
      </c>
      <c r="Y25" s="178">
        <f t="shared" si="8"/>
        <v>1800000</v>
      </c>
      <c r="Z25" s="178">
        <f t="shared" si="9"/>
        <v>900000</v>
      </c>
      <c r="AA25" s="173">
        <f>+pronostico!H24*2%</f>
        <v>600</v>
      </c>
      <c r="AB25" s="179">
        <f t="shared" si="10"/>
        <v>1800000</v>
      </c>
      <c r="AC25" s="180">
        <f t="shared" si="11"/>
        <v>900000</v>
      </c>
      <c r="AD25" s="173">
        <f>+pronostico!H24*10%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+pronostico!H25*50%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+pronostico!H25*20%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+pronostico!H25*8%</f>
        <v>3200</v>
      </c>
      <c r="S26" s="174">
        <f t="shared" si="4"/>
        <v>12160000</v>
      </c>
      <c r="T26" s="175">
        <f t="shared" si="5"/>
        <v>4864000</v>
      </c>
      <c r="U26" s="173">
        <f>+pronostico!H25*8%</f>
        <v>3200</v>
      </c>
      <c r="V26" s="176">
        <f t="shared" si="6"/>
        <v>12160000</v>
      </c>
      <c r="W26" s="177">
        <f t="shared" si="7"/>
        <v>4864000</v>
      </c>
      <c r="X26" s="173">
        <f>+pronostico!H25*2%</f>
        <v>800</v>
      </c>
      <c r="Y26" s="178">
        <f t="shared" si="8"/>
        <v>3040000</v>
      </c>
      <c r="Z26" s="178">
        <f t="shared" si="9"/>
        <v>1216000</v>
      </c>
      <c r="AA26" s="173">
        <f>+pronostico!H25*2%</f>
        <v>800</v>
      </c>
      <c r="AB26" s="179">
        <f t="shared" si="10"/>
        <v>3040000</v>
      </c>
      <c r="AC26" s="180">
        <f t="shared" si="11"/>
        <v>1216000</v>
      </c>
      <c r="AD26" s="173">
        <f>+pronostico!H25*10%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+pronostico!H26*50%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+pronostico!H26*20%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+pronostico!H26*8%</f>
        <v>4800</v>
      </c>
      <c r="S27" s="174">
        <f t="shared" si="4"/>
        <v>11040000</v>
      </c>
      <c r="T27" s="175">
        <f t="shared" si="5"/>
        <v>5520000</v>
      </c>
      <c r="U27" s="173">
        <f>+pronostico!H26*8%</f>
        <v>4800</v>
      </c>
      <c r="V27" s="176">
        <f t="shared" si="6"/>
        <v>11040000</v>
      </c>
      <c r="W27" s="177">
        <f t="shared" si="7"/>
        <v>5520000</v>
      </c>
      <c r="X27" s="173">
        <f>+pronostico!H26*2%</f>
        <v>1200</v>
      </c>
      <c r="Y27" s="178">
        <f t="shared" si="8"/>
        <v>2760000</v>
      </c>
      <c r="Z27" s="178">
        <f t="shared" si="9"/>
        <v>1380000</v>
      </c>
      <c r="AA27" s="173">
        <f>+pronostico!H26*2%</f>
        <v>1200</v>
      </c>
      <c r="AB27" s="179">
        <f t="shared" si="10"/>
        <v>2760000</v>
      </c>
      <c r="AC27" s="180">
        <f t="shared" si="11"/>
        <v>1380000</v>
      </c>
      <c r="AD27" s="173">
        <f>+pronostico!H26*10%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+pronostico!H27*50%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+pronostico!H27*20%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+pronostico!H27*8%</f>
        <v>2400</v>
      </c>
      <c r="S28" s="174">
        <f t="shared" si="4"/>
        <v>9360000</v>
      </c>
      <c r="T28" s="175">
        <f t="shared" si="5"/>
        <v>3744000</v>
      </c>
      <c r="U28" s="173">
        <f>+pronostico!H27*8%</f>
        <v>2400</v>
      </c>
      <c r="V28" s="176">
        <f t="shared" si="6"/>
        <v>9360000</v>
      </c>
      <c r="W28" s="177">
        <f t="shared" si="7"/>
        <v>3744000</v>
      </c>
      <c r="X28" s="173">
        <f>+pronostico!H27*2%</f>
        <v>600</v>
      </c>
      <c r="Y28" s="178">
        <f t="shared" si="8"/>
        <v>2340000</v>
      </c>
      <c r="Z28" s="178">
        <f t="shared" si="9"/>
        <v>936000</v>
      </c>
      <c r="AA28" s="173">
        <f>+pronostico!H27*2%</f>
        <v>600</v>
      </c>
      <c r="AB28" s="179">
        <f t="shared" si="10"/>
        <v>2340000</v>
      </c>
      <c r="AC28" s="180">
        <f t="shared" si="11"/>
        <v>936000</v>
      </c>
      <c r="AD28" s="173">
        <f>+pronostico!H27*10%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+pronostico!H28*50%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+pronostico!H28*20%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+pronostico!H28*8%</f>
        <v>5200</v>
      </c>
      <c r="S29" s="174">
        <f t="shared" si="4"/>
        <v>15600000</v>
      </c>
      <c r="T29" s="175">
        <f t="shared" si="5"/>
        <v>7800000</v>
      </c>
      <c r="U29" s="173">
        <f>+pronostico!H28*8%</f>
        <v>5200</v>
      </c>
      <c r="V29" s="176">
        <f t="shared" si="6"/>
        <v>15600000</v>
      </c>
      <c r="W29" s="177">
        <f t="shared" si="7"/>
        <v>7800000</v>
      </c>
      <c r="X29" s="173">
        <f>+pronostico!H28*2%</f>
        <v>1300</v>
      </c>
      <c r="Y29" s="178">
        <f t="shared" si="8"/>
        <v>3900000</v>
      </c>
      <c r="Z29" s="178">
        <f t="shared" si="9"/>
        <v>1950000</v>
      </c>
      <c r="AA29" s="173">
        <f>+pronostico!H28*2%</f>
        <v>1300</v>
      </c>
      <c r="AB29" s="179">
        <f t="shared" si="10"/>
        <v>3900000</v>
      </c>
      <c r="AC29" s="180">
        <f t="shared" si="11"/>
        <v>1950000</v>
      </c>
      <c r="AD29" s="173">
        <f>+pronostico!H28*10%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+pronostico!H29*50%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+pronostico!H29*20%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+pronostico!H29*8%</f>
        <v>2000</v>
      </c>
      <c r="S30" s="174">
        <f t="shared" si="4"/>
        <v>8200000</v>
      </c>
      <c r="T30" s="175">
        <f t="shared" si="5"/>
        <v>3280000</v>
      </c>
      <c r="U30" s="173">
        <f>+pronostico!H29*8%</f>
        <v>2000</v>
      </c>
      <c r="V30" s="176">
        <f t="shared" si="6"/>
        <v>8200000</v>
      </c>
      <c r="W30" s="177">
        <f t="shared" si="7"/>
        <v>3280000</v>
      </c>
      <c r="X30" s="173">
        <f>+pronostico!H29*2%</f>
        <v>500</v>
      </c>
      <c r="Y30" s="178">
        <f t="shared" si="8"/>
        <v>2050000</v>
      </c>
      <c r="Z30" s="178">
        <f t="shared" si="9"/>
        <v>820000</v>
      </c>
      <c r="AA30" s="173">
        <f>+pronostico!H29*2%</f>
        <v>500</v>
      </c>
      <c r="AB30" s="179">
        <f t="shared" si="10"/>
        <v>2050000</v>
      </c>
      <c r="AC30" s="180">
        <f t="shared" si="11"/>
        <v>820000</v>
      </c>
      <c r="AD30" s="173">
        <f>+pronostico!H29*10%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+pronostico!H30*50%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+pronostico!H30*20%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+pronostico!H30*8%</f>
        <v>2000</v>
      </c>
      <c r="S31" s="174">
        <f t="shared" si="4"/>
        <v>4700000</v>
      </c>
      <c r="T31" s="175">
        <f t="shared" si="5"/>
        <v>2350000</v>
      </c>
      <c r="U31" s="173">
        <f>+pronostico!H30*8%</f>
        <v>2000</v>
      </c>
      <c r="V31" s="176">
        <f t="shared" si="6"/>
        <v>4700000</v>
      </c>
      <c r="W31" s="177">
        <f t="shared" si="7"/>
        <v>2350000</v>
      </c>
      <c r="X31" s="173">
        <f>+pronostico!H30*2%</f>
        <v>500</v>
      </c>
      <c r="Y31" s="178">
        <f t="shared" si="8"/>
        <v>1175000</v>
      </c>
      <c r="Z31" s="178">
        <f t="shared" si="9"/>
        <v>587500</v>
      </c>
      <c r="AA31" s="173">
        <f>+pronostico!H30*2%</f>
        <v>500</v>
      </c>
      <c r="AB31" s="179">
        <f t="shared" si="10"/>
        <v>1175000</v>
      </c>
      <c r="AC31" s="180">
        <f t="shared" si="11"/>
        <v>587500</v>
      </c>
      <c r="AD31" s="173">
        <f>+pronostico!H30*10%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+pronostico!H31*50%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+pronostico!H31*20%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+pronostico!H31*8%</f>
        <v>1600</v>
      </c>
      <c r="S32" s="174">
        <f t="shared" si="4"/>
        <v>4800000</v>
      </c>
      <c r="T32" s="175">
        <f t="shared" si="5"/>
        <v>2400000</v>
      </c>
      <c r="U32" s="173">
        <f>+pronostico!H31*8%</f>
        <v>1600</v>
      </c>
      <c r="V32" s="176">
        <f t="shared" si="6"/>
        <v>4800000</v>
      </c>
      <c r="W32" s="177">
        <f t="shared" si="7"/>
        <v>2400000</v>
      </c>
      <c r="X32" s="173">
        <f>+pronostico!H31*2%</f>
        <v>400</v>
      </c>
      <c r="Y32" s="178">
        <f t="shared" si="8"/>
        <v>1200000</v>
      </c>
      <c r="Z32" s="178">
        <f t="shared" si="9"/>
        <v>600000</v>
      </c>
      <c r="AA32" s="173">
        <f>+pronostico!H31*2%</f>
        <v>400</v>
      </c>
      <c r="AB32" s="179">
        <f t="shared" si="10"/>
        <v>1200000</v>
      </c>
      <c r="AC32" s="180">
        <f t="shared" si="11"/>
        <v>600000</v>
      </c>
      <c r="AD32" s="173">
        <f>+pronostico!H31*10%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+pronostico!H32*50%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+pronostico!H32*20%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+pronostico!H32*8%</f>
        <v>1200</v>
      </c>
      <c r="S33" s="174">
        <f t="shared" si="4"/>
        <v>2760000</v>
      </c>
      <c r="T33" s="175">
        <f t="shared" si="5"/>
        <v>1380000</v>
      </c>
      <c r="U33" s="173">
        <f>+pronostico!H32*8%</f>
        <v>1200</v>
      </c>
      <c r="V33" s="176">
        <f t="shared" si="6"/>
        <v>2760000</v>
      </c>
      <c r="W33" s="177">
        <f t="shared" si="7"/>
        <v>1380000</v>
      </c>
      <c r="X33" s="173">
        <f>+pronostico!H32*2%</f>
        <v>300</v>
      </c>
      <c r="Y33" s="178">
        <f t="shared" si="8"/>
        <v>690000</v>
      </c>
      <c r="Z33" s="178">
        <f t="shared" si="9"/>
        <v>345000</v>
      </c>
      <c r="AA33" s="173">
        <f>+pronostico!H32*2%</f>
        <v>300</v>
      </c>
      <c r="AB33" s="179">
        <f t="shared" si="10"/>
        <v>690000</v>
      </c>
      <c r="AC33" s="180">
        <f t="shared" si="11"/>
        <v>345000</v>
      </c>
      <c r="AD33" s="173">
        <f>+pronostico!H32*10%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+pronostico!H33*50%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+pronostico!H33*20%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+pronostico!H33*8%</f>
        <v>1600</v>
      </c>
      <c r="S34" s="174">
        <f t="shared" si="4"/>
        <v>6080000</v>
      </c>
      <c r="T34" s="175">
        <f t="shared" si="5"/>
        <v>2432000</v>
      </c>
      <c r="U34" s="173">
        <f>+pronostico!H33*8%</f>
        <v>1600</v>
      </c>
      <c r="V34" s="176">
        <f t="shared" si="6"/>
        <v>6080000</v>
      </c>
      <c r="W34" s="177">
        <f t="shared" si="7"/>
        <v>2432000</v>
      </c>
      <c r="X34" s="173">
        <f>+pronostico!H33*2%</f>
        <v>400</v>
      </c>
      <c r="Y34" s="178">
        <f t="shared" si="8"/>
        <v>1520000</v>
      </c>
      <c r="Z34" s="178">
        <f t="shared" si="9"/>
        <v>608000</v>
      </c>
      <c r="AA34" s="173">
        <f>+pronostico!H33*2%</f>
        <v>400</v>
      </c>
      <c r="AB34" s="179">
        <f t="shared" si="10"/>
        <v>1520000</v>
      </c>
      <c r="AC34" s="180">
        <f t="shared" si="11"/>
        <v>608000</v>
      </c>
      <c r="AD34" s="173">
        <f>+pronostico!H33*10%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+pronostico!H34*50%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+pronostico!H34*20%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+pronostico!H34*8%</f>
        <v>1600</v>
      </c>
      <c r="S35" s="174">
        <f t="shared" si="4"/>
        <v>6400000</v>
      </c>
      <c r="T35" s="175">
        <f t="shared" si="5"/>
        <v>2560000</v>
      </c>
      <c r="U35" s="173">
        <f>+pronostico!H34*8%</f>
        <v>1600</v>
      </c>
      <c r="V35" s="176">
        <f t="shared" si="6"/>
        <v>6400000</v>
      </c>
      <c r="W35" s="177">
        <f t="shared" si="7"/>
        <v>2560000</v>
      </c>
      <c r="X35" s="173">
        <f>+pronostico!H34*2%</f>
        <v>400</v>
      </c>
      <c r="Y35" s="178">
        <f t="shared" si="8"/>
        <v>1600000</v>
      </c>
      <c r="Z35" s="178">
        <f t="shared" si="9"/>
        <v>640000</v>
      </c>
      <c r="AA35" s="173">
        <f>+pronostico!H34*2%</f>
        <v>400</v>
      </c>
      <c r="AB35" s="179">
        <f t="shared" si="10"/>
        <v>1600000</v>
      </c>
      <c r="AC35" s="180">
        <f t="shared" si="11"/>
        <v>640000</v>
      </c>
      <c r="AD35" s="173">
        <f>+pronostico!H34*10%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+pronostico!H35*50%</f>
        <v>122712.5</v>
      </c>
      <c r="G36" s="137">
        <f t="shared" si="13"/>
        <v>234380875</v>
      </c>
      <c r="H36" s="138">
        <f t="shared" si="13"/>
        <v>117190437.5</v>
      </c>
      <c r="I36" s="137">
        <f t="shared" si="21"/>
        <v>73627.5</v>
      </c>
      <c r="J36" s="139">
        <f t="shared" si="15"/>
        <v>36813.75</v>
      </c>
      <c r="K36" s="167">
        <f t="shared" si="0"/>
        <v>12271.25</v>
      </c>
      <c r="L36" s="168" t="s">
        <v>21</v>
      </c>
      <c r="M36" s="169">
        <f>+pronostico!H35*20%</f>
        <v>49085</v>
      </c>
      <c r="N36" s="170">
        <f t="shared" si="2"/>
        <v>93752350</v>
      </c>
      <c r="O36" s="171">
        <f t="shared" si="3"/>
        <v>46876175</v>
      </c>
      <c r="P36" s="170">
        <f t="shared" si="16"/>
        <v>24542.5</v>
      </c>
      <c r="Q36" s="172">
        <f t="shared" si="17"/>
        <v>24542.5</v>
      </c>
      <c r="R36" s="173">
        <f>+pronostico!H35*8%</f>
        <v>19634</v>
      </c>
      <c r="S36" s="174">
        <f t="shared" si="4"/>
        <v>37500940</v>
      </c>
      <c r="T36" s="175">
        <f t="shared" si="5"/>
        <v>18750470</v>
      </c>
      <c r="U36" s="173">
        <f>+pronostico!H35*8%</f>
        <v>19634</v>
      </c>
      <c r="V36" s="176">
        <v>0</v>
      </c>
      <c r="W36" s="177">
        <f t="shared" ref="W36:W51" si="22">V36*E36</f>
        <v>0</v>
      </c>
      <c r="X36" s="173">
        <f>+pronostico!H35*2%</f>
        <v>4908.5</v>
      </c>
      <c r="Y36" s="178">
        <f t="shared" si="8"/>
        <v>9375235</v>
      </c>
      <c r="Z36" s="178">
        <f t="shared" si="9"/>
        <v>4687617.5</v>
      </c>
      <c r="AA36" s="173">
        <f>+pronostico!H35*2%</f>
        <v>4908.5</v>
      </c>
      <c r="AB36" s="179">
        <f t="shared" si="10"/>
        <v>9375235</v>
      </c>
      <c r="AC36" s="180">
        <f t="shared" si="11"/>
        <v>4687617.5</v>
      </c>
      <c r="AD36" s="173">
        <f>+pronostico!H35*10%</f>
        <v>24542.5</v>
      </c>
      <c r="AE36" s="176">
        <f t="shared" si="20"/>
        <v>46876175</v>
      </c>
      <c r="AF36" s="177">
        <f t="shared" si="20"/>
        <v>23438087.5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+pronostico!H36*50%</f>
        <v>114488</v>
      </c>
      <c r="G37" s="137">
        <f t="shared" si="13"/>
        <v>248438960</v>
      </c>
      <c r="H37" s="138">
        <f t="shared" si="13"/>
        <v>124219480</v>
      </c>
      <c r="I37" s="137">
        <f t="shared" si="21"/>
        <v>68692.800000000003</v>
      </c>
      <c r="J37" s="139">
        <f t="shared" si="15"/>
        <v>34346.400000000001</v>
      </c>
      <c r="K37" s="167">
        <f t="shared" si="0"/>
        <v>11448.800000000001</v>
      </c>
      <c r="L37" s="168" t="s">
        <v>21</v>
      </c>
      <c r="M37" s="169">
        <f>+pronostico!H36*20%</f>
        <v>45795.200000000004</v>
      </c>
      <c r="N37" s="170">
        <f t="shared" si="2"/>
        <v>99375584.000000015</v>
      </c>
      <c r="O37" s="171">
        <f t="shared" si="3"/>
        <v>49687792.000000007</v>
      </c>
      <c r="P37" s="170">
        <f t="shared" si="16"/>
        <v>22897.600000000002</v>
      </c>
      <c r="Q37" s="172">
        <f t="shared" si="17"/>
        <v>22897.600000000002</v>
      </c>
      <c r="R37" s="173">
        <f>+pronostico!H36*8%</f>
        <v>18318.080000000002</v>
      </c>
      <c r="S37" s="174">
        <f t="shared" si="4"/>
        <v>39750233.600000001</v>
      </c>
      <c r="T37" s="175">
        <f t="shared" si="5"/>
        <v>19875116.800000001</v>
      </c>
      <c r="U37" s="173">
        <f>+pronostico!H36*8%</f>
        <v>18318.080000000002</v>
      </c>
      <c r="V37" s="176">
        <v>0</v>
      </c>
      <c r="W37" s="177">
        <f t="shared" si="22"/>
        <v>0</v>
      </c>
      <c r="X37" s="173">
        <f>+pronostico!H36*2%</f>
        <v>4579.5200000000004</v>
      </c>
      <c r="Y37" s="178">
        <f t="shared" si="8"/>
        <v>9937558.4000000004</v>
      </c>
      <c r="Z37" s="178">
        <f t="shared" si="9"/>
        <v>4968779.2</v>
      </c>
      <c r="AA37" s="173">
        <f>+pronostico!H36*2%</f>
        <v>4579.5200000000004</v>
      </c>
      <c r="AB37" s="179">
        <f t="shared" si="10"/>
        <v>9937558.4000000004</v>
      </c>
      <c r="AC37" s="180">
        <f t="shared" si="11"/>
        <v>4968779.2</v>
      </c>
      <c r="AD37" s="173">
        <f>+pronostico!H36*10%</f>
        <v>22897.600000000002</v>
      </c>
      <c r="AE37" s="176">
        <f t="shared" ref="AE37:AF51" si="23">+AD37*D37</f>
        <v>49687792.000000007</v>
      </c>
      <c r="AF37" s="177">
        <f t="shared" si="23"/>
        <v>24843896.000000004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+pronostico!H37*50%</f>
        <v>91623.5</v>
      </c>
      <c r="G38" s="137">
        <f t="shared" si="13"/>
        <v>153011245</v>
      </c>
      <c r="H38" s="138">
        <f t="shared" si="13"/>
        <v>76505622.5</v>
      </c>
      <c r="I38" s="137">
        <f t="shared" si="21"/>
        <v>54974.1</v>
      </c>
      <c r="J38" s="139">
        <f t="shared" si="15"/>
        <v>27487.05</v>
      </c>
      <c r="K38" s="167">
        <f t="shared" si="0"/>
        <v>9162.35</v>
      </c>
      <c r="L38" s="168" t="s">
        <v>21</v>
      </c>
      <c r="M38" s="169">
        <f>+pronostico!H37*20%</f>
        <v>36649.4</v>
      </c>
      <c r="N38" s="170">
        <f t="shared" si="2"/>
        <v>61204498</v>
      </c>
      <c r="O38" s="171">
        <f t="shared" si="3"/>
        <v>30602249</v>
      </c>
      <c r="P38" s="170">
        <f t="shared" si="16"/>
        <v>18324.7</v>
      </c>
      <c r="Q38" s="172">
        <f t="shared" si="17"/>
        <v>18324.7</v>
      </c>
      <c r="R38" s="173">
        <f>+pronostico!H37*8%</f>
        <v>14659.76</v>
      </c>
      <c r="S38" s="174">
        <f t="shared" si="4"/>
        <v>24481799.199999999</v>
      </c>
      <c r="T38" s="175">
        <f t="shared" si="5"/>
        <v>12240899.6</v>
      </c>
      <c r="U38" s="173">
        <f>+pronostico!H37*8%</f>
        <v>14659.76</v>
      </c>
      <c r="V38" s="176">
        <v>0</v>
      </c>
      <c r="W38" s="177">
        <f t="shared" si="22"/>
        <v>0</v>
      </c>
      <c r="X38" s="173">
        <f>+pronostico!H37*2%</f>
        <v>3664.94</v>
      </c>
      <c r="Y38" s="178">
        <f t="shared" si="8"/>
        <v>6120449.7999999998</v>
      </c>
      <c r="Z38" s="178">
        <f t="shared" si="9"/>
        <v>3060224.9</v>
      </c>
      <c r="AA38" s="173">
        <f>+pronostico!H37*2%</f>
        <v>3664.94</v>
      </c>
      <c r="AB38" s="179">
        <f t="shared" si="10"/>
        <v>6120449.7999999998</v>
      </c>
      <c r="AC38" s="180">
        <f t="shared" si="11"/>
        <v>3060224.9</v>
      </c>
      <c r="AD38" s="173">
        <f>+pronostico!H37*10%</f>
        <v>18324.7</v>
      </c>
      <c r="AE38" s="176">
        <f t="shared" si="23"/>
        <v>30602249</v>
      </c>
      <c r="AF38" s="177">
        <f t="shared" si="23"/>
        <v>15301124.5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+pronostico!H38*50%</f>
        <v>45255.5</v>
      </c>
      <c r="G39" s="137">
        <f t="shared" si="13"/>
        <v>46160610</v>
      </c>
      <c r="H39" s="138">
        <f t="shared" si="13"/>
        <v>23080305</v>
      </c>
      <c r="I39" s="137">
        <f t="shared" si="21"/>
        <v>27153.3</v>
      </c>
      <c r="J39" s="139">
        <f t="shared" si="15"/>
        <v>13576.65</v>
      </c>
      <c r="K39" s="167">
        <f t="shared" si="0"/>
        <v>4525.55</v>
      </c>
      <c r="L39" s="168" t="s">
        <v>21</v>
      </c>
      <c r="M39" s="169">
        <f>+pronostico!H38*20%</f>
        <v>18102.2</v>
      </c>
      <c r="N39" s="170">
        <f t="shared" si="2"/>
        <v>18464244</v>
      </c>
      <c r="O39" s="171">
        <f t="shared" si="3"/>
        <v>9232122</v>
      </c>
      <c r="P39" s="170">
        <f t="shared" si="16"/>
        <v>9051.1</v>
      </c>
      <c r="Q39" s="172">
        <f t="shared" si="17"/>
        <v>9051.1</v>
      </c>
      <c r="R39" s="173">
        <f>+pronostico!H38*8%</f>
        <v>7240.88</v>
      </c>
      <c r="S39" s="174">
        <f t="shared" si="4"/>
        <v>7385697.6000000006</v>
      </c>
      <c r="T39" s="175">
        <f t="shared" si="5"/>
        <v>3692848.8000000003</v>
      </c>
      <c r="U39" s="173">
        <f>+pronostico!H38*8%</f>
        <v>7240.88</v>
      </c>
      <c r="V39" s="176">
        <v>0</v>
      </c>
      <c r="W39" s="177">
        <f t="shared" si="22"/>
        <v>0</v>
      </c>
      <c r="X39" s="173">
        <f>+pronostico!H38*2%</f>
        <v>1810.22</v>
      </c>
      <c r="Y39" s="178">
        <f t="shared" si="8"/>
        <v>1846424.4000000001</v>
      </c>
      <c r="Z39" s="178">
        <f t="shared" si="9"/>
        <v>923212.20000000007</v>
      </c>
      <c r="AA39" s="173">
        <f>+pronostico!H38*2%</f>
        <v>1810.22</v>
      </c>
      <c r="AB39" s="179">
        <f t="shared" si="10"/>
        <v>1846424.4000000001</v>
      </c>
      <c r="AC39" s="180">
        <f t="shared" si="11"/>
        <v>923212.20000000007</v>
      </c>
      <c r="AD39" s="173">
        <f>+pronostico!H38*10%</f>
        <v>9051.1</v>
      </c>
      <c r="AE39" s="176">
        <f t="shared" si="23"/>
        <v>9232122</v>
      </c>
      <c r="AF39" s="177">
        <f t="shared" si="23"/>
        <v>4616061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+pronostico!H39*50%</f>
        <v>50061.5</v>
      </c>
      <c r="G40" s="137">
        <f t="shared" si="13"/>
        <v>71587945</v>
      </c>
      <c r="H40" s="138">
        <f t="shared" si="13"/>
        <v>35793972.5</v>
      </c>
      <c r="I40" s="137">
        <f t="shared" si="21"/>
        <v>30036.899999999998</v>
      </c>
      <c r="J40" s="139">
        <f t="shared" si="15"/>
        <v>15018.449999999999</v>
      </c>
      <c r="K40" s="167">
        <f t="shared" si="0"/>
        <v>5006.1500000000005</v>
      </c>
      <c r="L40" s="168" t="s">
        <v>21</v>
      </c>
      <c r="M40" s="169">
        <f>+pronostico!H39*20%</f>
        <v>20024.600000000002</v>
      </c>
      <c r="N40" s="170">
        <f t="shared" si="2"/>
        <v>28635178.000000004</v>
      </c>
      <c r="O40" s="171">
        <f t="shared" si="3"/>
        <v>14317589.000000002</v>
      </c>
      <c r="P40" s="170">
        <f t="shared" si="16"/>
        <v>10012.300000000001</v>
      </c>
      <c r="Q40" s="172">
        <f t="shared" si="17"/>
        <v>10012.300000000001</v>
      </c>
      <c r="R40" s="173">
        <f>+pronostico!H39*8%</f>
        <v>8009.84</v>
      </c>
      <c r="S40" s="174">
        <f t="shared" si="4"/>
        <v>11454071.200000001</v>
      </c>
      <c r="T40" s="175">
        <f t="shared" si="5"/>
        <v>5727035.6000000006</v>
      </c>
      <c r="U40" s="173">
        <f>+pronostico!H39*8%</f>
        <v>8009.84</v>
      </c>
      <c r="V40" s="176">
        <v>0</v>
      </c>
      <c r="W40" s="177">
        <f t="shared" si="22"/>
        <v>0</v>
      </c>
      <c r="X40" s="173">
        <f>+pronostico!H39*2%</f>
        <v>2002.46</v>
      </c>
      <c r="Y40" s="178">
        <f t="shared" si="8"/>
        <v>2863517.8000000003</v>
      </c>
      <c r="Z40" s="178">
        <f t="shared" si="9"/>
        <v>1431758.9000000001</v>
      </c>
      <c r="AA40" s="173">
        <f>+pronostico!H39*2%</f>
        <v>2002.46</v>
      </c>
      <c r="AB40" s="179">
        <f t="shared" si="10"/>
        <v>2863517.8000000003</v>
      </c>
      <c r="AC40" s="180">
        <f t="shared" si="11"/>
        <v>1431758.9000000001</v>
      </c>
      <c r="AD40" s="173">
        <f>+pronostico!H39*10%</f>
        <v>10012.300000000001</v>
      </c>
      <c r="AE40" s="176">
        <f t="shared" si="23"/>
        <v>14317589.000000002</v>
      </c>
      <c r="AF40" s="177">
        <f t="shared" si="23"/>
        <v>7158794.5000000009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+pronostico!H40*50%</f>
        <v>41692</v>
      </c>
      <c r="G41" s="137">
        <f t="shared" si="13"/>
        <v>552835920</v>
      </c>
      <c r="H41" s="138">
        <f t="shared" si="13"/>
        <v>221134368</v>
      </c>
      <c r="I41" s="137">
        <f t="shared" si="21"/>
        <v>25015.200000000001</v>
      </c>
      <c r="J41" s="139">
        <f t="shared" si="15"/>
        <v>12507.6</v>
      </c>
      <c r="K41" s="167">
        <f t="shared" si="0"/>
        <v>4169.2</v>
      </c>
      <c r="L41" s="168" t="s">
        <v>21</v>
      </c>
      <c r="M41" s="169">
        <f>+pronostico!H40*20%</f>
        <v>16676.8</v>
      </c>
      <c r="N41" s="170">
        <f t="shared" si="2"/>
        <v>221134368</v>
      </c>
      <c r="O41" s="171">
        <f t="shared" si="3"/>
        <v>88453747.200000003</v>
      </c>
      <c r="P41" s="170">
        <f t="shared" si="16"/>
        <v>8338.4</v>
      </c>
      <c r="Q41" s="172">
        <f t="shared" si="17"/>
        <v>8338.4</v>
      </c>
      <c r="R41" s="173">
        <f>+pronostico!H40*8%</f>
        <v>6670.72</v>
      </c>
      <c r="S41" s="174">
        <f t="shared" si="4"/>
        <v>88453747.200000003</v>
      </c>
      <c r="T41" s="175">
        <f t="shared" si="5"/>
        <v>35381498.880000003</v>
      </c>
      <c r="U41" s="173">
        <f>+pronostico!H40*8%</f>
        <v>6670.72</v>
      </c>
      <c r="V41" s="176">
        <v>0</v>
      </c>
      <c r="W41" s="177">
        <f t="shared" si="22"/>
        <v>0</v>
      </c>
      <c r="X41" s="173">
        <f>+pronostico!H40*2%</f>
        <v>1667.68</v>
      </c>
      <c r="Y41" s="178">
        <f t="shared" si="8"/>
        <v>22113436.800000001</v>
      </c>
      <c r="Z41" s="178">
        <f t="shared" si="9"/>
        <v>8845374.7200000007</v>
      </c>
      <c r="AA41" s="173">
        <f>+pronostico!H40*2%</f>
        <v>1667.68</v>
      </c>
      <c r="AB41" s="179">
        <f t="shared" si="10"/>
        <v>22113436.800000001</v>
      </c>
      <c r="AC41" s="180">
        <f t="shared" si="11"/>
        <v>8845374.7200000007</v>
      </c>
      <c r="AD41" s="173">
        <f>+pronostico!H40*10%</f>
        <v>8338.4</v>
      </c>
      <c r="AE41" s="176">
        <f t="shared" si="23"/>
        <v>110567184</v>
      </c>
      <c r="AF41" s="177">
        <f t="shared" si="23"/>
        <v>44226873.600000001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+pronostico!H41*50%</f>
        <v>23159.5</v>
      </c>
      <c r="G42" s="137">
        <f t="shared" si="13"/>
        <v>65772980</v>
      </c>
      <c r="H42" s="138">
        <f t="shared" si="13"/>
        <v>32886490</v>
      </c>
      <c r="I42" s="137">
        <f t="shared" si="21"/>
        <v>13895.699999999999</v>
      </c>
      <c r="J42" s="139">
        <f t="shared" si="15"/>
        <v>6947.8499999999995</v>
      </c>
      <c r="K42" s="167">
        <f t="shared" si="0"/>
        <v>2315.9500000000003</v>
      </c>
      <c r="L42" s="168" t="s">
        <v>21</v>
      </c>
      <c r="M42" s="169">
        <f>+pronostico!H41*20%</f>
        <v>9263.8000000000011</v>
      </c>
      <c r="N42" s="170">
        <f t="shared" si="2"/>
        <v>26309192.000000004</v>
      </c>
      <c r="O42" s="171">
        <f t="shared" si="3"/>
        <v>13154596.000000002</v>
      </c>
      <c r="P42" s="170">
        <f t="shared" si="16"/>
        <v>4631.9000000000005</v>
      </c>
      <c r="Q42" s="172">
        <f t="shared" si="17"/>
        <v>4631.9000000000005</v>
      </c>
      <c r="R42" s="173">
        <f>+pronostico!H41*8%</f>
        <v>3705.52</v>
      </c>
      <c r="S42" s="174">
        <f t="shared" si="4"/>
        <v>10523676.800000001</v>
      </c>
      <c r="T42" s="175">
        <f t="shared" si="5"/>
        <v>5261838.4000000004</v>
      </c>
      <c r="U42" s="173">
        <f>+pronostico!H41*8%</f>
        <v>3705.52</v>
      </c>
      <c r="V42" s="176">
        <v>0</v>
      </c>
      <c r="W42" s="177">
        <f t="shared" si="22"/>
        <v>0</v>
      </c>
      <c r="X42" s="173">
        <f>+pronostico!H41*2%</f>
        <v>926.38</v>
      </c>
      <c r="Y42" s="178">
        <f t="shared" si="8"/>
        <v>2630919.2000000002</v>
      </c>
      <c r="Z42" s="178">
        <f t="shared" si="9"/>
        <v>1315459.6000000001</v>
      </c>
      <c r="AA42" s="173">
        <f>+pronostico!H41*2%</f>
        <v>926.38</v>
      </c>
      <c r="AB42" s="179">
        <f t="shared" si="10"/>
        <v>2630919.2000000002</v>
      </c>
      <c r="AC42" s="180">
        <f t="shared" si="11"/>
        <v>1315459.6000000001</v>
      </c>
      <c r="AD42" s="173">
        <f>+pronostico!H41*10%</f>
        <v>4631.9000000000005</v>
      </c>
      <c r="AE42" s="176">
        <f t="shared" si="23"/>
        <v>13154596.000000002</v>
      </c>
      <c r="AF42" s="177">
        <f t="shared" si="23"/>
        <v>6577298.0000000009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+pronostico!H42*50%</f>
        <v>20892</v>
      </c>
      <c r="G43" s="137">
        <f t="shared" si="13"/>
        <v>79389600</v>
      </c>
      <c r="H43" s="138">
        <f t="shared" si="13"/>
        <v>31755840</v>
      </c>
      <c r="I43" s="137">
        <f t="shared" si="21"/>
        <v>12535.199999999999</v>
      </c>
      <c r="J43" s="139">
        <f t="shared" si="15"/>
        <v>6267.5999999999995</v>
      </c>
      <c r="K43" s="167">
        <f t="shared" si="0"/>
        <v>2089.2000000000003</v>
      </c>
      <c r="L43" s="168" t="s">
        <v>21</v>
      </c>
      <c r="M43" s="169">
        <f>+pronostico!H42*20%</f>
        <v>8356.8000000000011</v>
      </c>
      <c r="N43" s="170">
        <f t="shared" si="2"/>
        <v>31755840.000000004</v>
      </c>
      <c r="O43" s="171">
        <f t="shared" si="3"/>
        <v>12702336.000000002</v>
      </c>
      <c r="P43" s="170">
        <f t="shared" si="16"/>
        <v>4178.4000000000005</v>
      </c>
      <c r="Q43" s="172">
        <f t="shared" si="17"/>
        <v>4178.4000000000005</v>
      </c>
      <c r="R43" s="173">
        <f>+pronostico!H42*8%</f>
        <v>3342.7200000000003</v>
      </c>
      <c r="S43" s="174">
        <f t="shared" si="4"/>
        <v>12702336.000000002</v>
      </c>
      <c r="T43" s="175">
        <f t="shared" si="5"/>
        <v>5080934.4000000013</v>
      </c>
      <c r="U43" s="173">
        <f>+pronostico!H42*8%</f>
        <v>3342.7200000000003</v>
      </c>
      <c r="V43" s="176">
        <v>0</v>
      </c>
      <c r="W43" s="177">
        <f t="shared" si="22"/>
        <v>0</v>
      </c>
      <c r="X43" s="173">
        <f>+pronostico!H42*2%</f>
        <v>835.68000000000006</v>
      </c>
      <c r="Y43" s="178">
        <f t="shared" si="8"/>
        <v>3175584.0000000005</v>
      </c>
      <c r="Z43" s="178">
        <f t="shared" si="9"/>
        <v>1270233.6000000003</v>
      </c>
      <c r="AA43" s="173">
        <f>+pronostico!H42*2%</f>
        <v>835.68000000000006</v>
      </c>
      <c r="AB43" s="179">
        <f t="shared" si="10"/>
        <v>3175584.0000000005</v>
      </c>
      <c r="AC43" s="180">
        <f t="shared" si="11"/>
        <v>1270233.6000000003</v>
      </c>
      <c r="AD43" s="173">
        <f>+pronostico!H42*10%</f>
        <v>4178.4000000000005</v>
      </c>
      <c r="AE43" s="176">
        <f t="shared" si="23"/>
        <v>15877920.000000002</v>
      </c>
      <c r="AF43" s="177">
        <f t="shared" si="23"/>
        <v>6351168.0000000009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+pronostico!H43*50%</f>
        <v>26409.174532299501</v>
      </c>
      <c r="G44" s="137">
        <f t="shared" si="13"/>
        <v>90847560.391110286</v>
      </c>
      <c r="H44" s="138">
        <f t="shared" si="13"/>
        <v>45423780.195555143</v>
      </c>
      <c r="I44" s="137">
        <f t="shared" si="21"/>
        <v>15845.5047193797</v>
      </c>
      <c r="J44" s="139">
        <f t="shared" si="15"/>
        <v>7922.75235968985</v>
      </c>
      <c r="K44" s="167">
        <f t="shared" si="0"/>
        <v>2640.9174532299503</v>
      </c>
      <c r="L44" s="168" t="s">
        <v>21</v>
      </c>
      <c r="M44" s="169">
        <f>+pronostico!H43*20%</f>
        <v>10563.669812919801</v>
      </c>
      <c r="N44" s="170">
        <f t="shared" si="2"/>
        <v>36339024.156444117</v>
      </c>
      <c r="O44" s="171">
        <f t="shared" si="3"/>
        <v>18169512.078222059</v>
      </c>
      <c r="P44" s="170">
        <f t="shared" si="16"/>
        <v>5281.8349064599006</v>
      </c>
      <c r="Q44" s="172">
        <f t="shared" si="17"/>
        <v>5281.8349064599006</v>
      </c>
      <c r="R44" s="173">
        <f>+pronostico!H43*8%</f>
        <v>4225.4679251679199</v>
      </c>
      <c r="S44" s="174">
        <f t="shared" si="4"/>
        <v>14535609.662577644</v>
      </c>
      <c r="T44" s="175">
        <f t="shared" si="5"/>
        <v>7267804.831288822</v>
      </c>
      <c r="U44" s="173">
        <f>+pronostico!H43*8%</f>
        <v>4225.4679251679199</v>
      </c>
      <c r="V44" s="176">
        <f t="shared" ref="V44:V51" si="24">U44*D44</f>
        <v>14535609.662577644</v>
      </c>
      <c r="W44" s="177">
        <f t="shared" si="22"/>
        <v>7267804.831288822</v>
      </c>
      <c r="X44" s="173">
        <f>+pronostico!H43*2%</f>
        <v>1056.36698129198</v>
      </c>
      <c r="Y44" s="178">
        <f t="shared" si="8"/>
        <v>3633902.415644411</v>
      </c>
      <c r="Z44" s="178">
        <f t="shared" si="9"/>
        <v>1816951.2078222055</v>
      </c>
      <c r="AA44" s="173">
        <f>+pronostico!H43*2%</f>
        <v>1056.36698129198</v>
      </c>
      <c r="AB44" s="179">
        <f t="shared" si="10"/>
        <v>3633902.415644411</v>
      </c>
      <c r="AC44" s="180">
        <f t="shared" si="11"/>
        <v>1816951.2078222055</v>
      </c>
      <c r="AD44" s="173">
        <f>+pronostico!H43*10%</f>
        <v>5281.8349064599006</v>
      </c>
      <c r="AE44" s="176">
        <f t="shared" si="23"/>
        <v>18169512.078222059</v>
      </c>
      <c r="AF44" s="177">
        <f t="shared" si="23"/>
        <v>9084756.0391110294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+pronostico!H44*50%</f>
        <v>31025.688332290167</v>
      </c>
      <c r="G45" s="137">
        <f t="shared" si="13"/>
        <v>63912917.964517742</v>
      </c>
      <c r="H45" s="138">
        <f t="shared" si="13"/>
        <v>31956458.982258871</v>
      </c>
      <c r="I45" s="137">
        <f t="shared" si="21"/>
        <v>18615.412999374101</v>
      </c>
      <c r="J45" s="139">
        <f t="shared" si="15"/>
        <v>9307.7064996870504</v>
      </c>
      <c r="K45" s="167">
        <f t="shared" si="0"/>
        <v>3102.5688332290169</v>
      </c>
      <c r="L45" s="168" t="s">
        <v>21</v>
      </c>
      <c r="M45" s="169">
        <f>+pronostico!H44*20%</f>
        <v>12410.275332916068</v>
      </c>
      <c r="N45" s="170">
        <f t="shared" si="2"/>
        <v>25565167.185807101</v>
      </c>
      <c r="O45" s="171">
        <f t="shared" si="3"/>
        <v>12782583.592903551</v>
      </c>
      <c r="P45" s="170">
        <f t="shared" si="16"/>
        <v>6205.1376664580339</v>
      </c>
      <c r="Q45" s="172">
        <f t="shared" si="17"/>
        <v>6205.1376664580339</v>
      </c>
      <c r="R45" s="173">
        <f>+pronostico!H44*8%</f>
        <v>4964.1101331664267</v>
      </c>
      <c r="S45" s="174">
        <f t="shared" si="4"/>
        <v>10226066.874322839</v>
      </c>
      <c r="T45" s="175">
        <f t="shared" si="5"/>
        <v>5113033.4371614195</v>
      </c>
      <c r="U45" s="173">
        <f>+pronostico!H44*8%</f>
        <v>4964.1101331664267</v>
      </c>
      <c r="V45" s="176">
        <f t="shared" si="24"/>
        <v>10226066.874322839</v>
      </c>
      <c r="W45" s="177">
        <f t="shared" si="22"/>
        <v>5113033.4371614195</v>
      </c>
      <c r="X45" s="173">
        <f>+pronostico!H44*2%</f>
        <v>1241.0275332916067</v>
      </c>
      <c r="Y45" s="178">
        <f t="shared" si="8"/>
        <v>2556516.7185807098</v>
      </c>
      <c r="Z45" s="178">
        <f t="shared" si="9"/>
        <v>1278258.3592903549</v>
      </c>
      <c r="AA45" s="173">
        <f>+pronostico!H44*2%</f>
        <v>1241.0275332916067</v>
      </c>
      <c r="AB45" s="179">
        <f t="shared" si="10"/>
        <v>2556516.7185807098</v>
      </c>
      <c r="AC45" s="180">
        <f t="shared" si="11"/>
        <v>1278258.3592903549</v>
      </c>
      <c r="AD45" s="173">
        <f>+pronostico!H44*10%</f>
        <v>6205.1376664580339</v>
      </c>
      <c r="AE45" s="176">
        <f t="shared" si="23"/>
        <v>12782583.592903551</v>
      </c>
      <c r="AF45" s="177">
        <f t="shared" si="23"/>
        <v>6391291.7964517754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+pronostico!H45*50%</f>
        <v>15954.128573497122</v>
      </c>
      <c r="G46" s="137">
        <f t="shared" si="13"/>
        <v>44831101.291526914</v>
      </c>
      <c r="H46" s="138">
        <f t="shared" si="13"/>
        <v>22415550.645763457</v>
      </c>
      <c r="I46" s="137">
        <f t="shared" si="21"/>
        <v>9572.4771440982731</v>
      </c>
      <c r="J46" s="139">
        <f t="shared" si="15"/>
        <v>4786.2385720491366</v>
      </c>
      <c r="K46" s="167">
        <f t="shared" si="0"/>
        <v>1595.4128573497123</v>
      </c>
      <c r="L46" s="168" t="s">
        <v>21</v>
      </c>
      <c r="M46" s="169">
        <f>+pronostico!H45*20%</f>
        <v>6381.6514293988494</v>
      </c>
      <c r="N46" s="170">
        <f t="shared" si="2"/>
        <v>17932440.516610768</v>
      </c>
      <c r="O46" s="171">
        <f t="shared" si="3"/>
        <v>8966220.2583053838</v>
      </c>
      <c r="P46" s="170">
        <f t="shared" si="16"/>
        <v>3190.8257146994247</v>
      </c>
      <c r="Q46" s="172">
        <f t="shared" si="17"/>
        <v>3190.8257146994247</v>
      </c>
      <c r="R46" s="173">
        <f>+pronostico!H45*8%</f>
        <v>2552.6605717595398</v>
      </c>
      <c r="S46" s="174">
        <f t="shared" si="4"/>
        <v>7172976.2066443069</v>
      </c>
      <c r="T46" s="175">
        <f t="shared" si="5"/>
        <v>3586488.1033221534</v>
      </c>
      <c r="U46" s="173">
        <f>+pronostico!H45*8%</f>
        <v>2552.6605717595398</v>
      </c>
      <c r="V46" s="176">
        <f t="shared" si="24"/>
        <v>7172976.2066443069</v>
      </c>
      <c r="W46" s="177">
        <f t="shared" si="22"/>
        <v>3586488.1033221534</v>
      </c>
      <c r="X46" s="173">
        <f>+pronostico!H45*2%</f>
        <v>638.16514293988496</v>
      </c>
      <c r="Y46" s="178">
        <f t="shared" si="8"/>
        <v>1793244.0516610767</v>
      </c>
      <c r="Z46" s="178">
        <f t="shared" si="9"/>
        <v>896622.02583053836</v>
      </c>
      <c r="AA46" s="173">
        <f>+pronostico!H45*2%</f>
        <v>638.16514293988496</v>
      </c>
      <c r="AB46" s="179">
        <f t="shared" si="10"/>
        <v>1793244.0516610767</v>
      </c>
      <c r="AC46" s="180">
        <f t="shared" si="11"/>
        <v>896622.02583053836</v>
      </c>
      <c r="AD46" s="173">
        <f>+pronostico!H45*10%</f>
        <v>3190.8257146994247</v>
      </c>
      <c r="AE46" s="176">
        <f t="shared" si="23"/>
        <v>8966220.2583053838</v>
      </c>
      <c r="AF46" s="177">
        <f t="shared" si="23"/>
        <v>4483110.1291526919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+pronostico!H46*50%</f>
        <v>13034.86249409127</v>
      </c>
      <c r="G47" s="137">
        <f t="shared" si="13"/>
        <v>53964330.725537859</v>
      </c>
      <c r="H47" s="138">
        <f t="shared" si="13"/>
        <v>21585732.290215146</v>
      </c>
      <c r="I47" s="137">
        <f t="shared" si="21"/>
        <v>7820.9174964547619</v>
      </c>
      <c r="J47" s="139">
        <f t="shared" si="15"/>
        <v>3910.458748227381</v>
      </c>
      <c r="K47" s="167">
        <f t="shared" si="0"/>
        <v>1303.4862494091271</v>
      </c>
      <c r="L47" s="168" t="s">
        <v>21</v>
      </c>
      <c r="M47" s="169">
        <f>+pronostico!H46*20%</f>
        <v>5213.9449976365086</v>
      </c>
      <c r="N47" s="170">
        <f t="shared" si="2"/>
        <v>21585732.290215146</v>
      </c>
      <c r="O47" s="171">
        <f t="shared" si="3"/>
        <v>8634292.9160860591</v>
      </c>
      <c r="P47" s="170">
        <f t="shared" si="16"/>
        <v>2606.9724988182543</v>
      </c>
      <c r="Q47" s="172">
        <f t="shared" si="17"/>
        <v>2606.9724988182543</v>
      </c>
      <c r="R47" s="173">
        <f>+pronostico!H46*8%</f>
        <v>2085.5779990546034</v>
      </c>
      <c r="S47" s="174">
        <f t="shared" si="4"/>
        <v>8634292.9160860591</v>
      </c>
      <c r="T47" s="175">
        <f t="shared" si="5"/>
        <v>3453717.166434424</v>
      </c>
      <c r="U47" s="173">
        <f>+pronostico!H46*8%</f>
        <v>2085.5779990546034</v>
      </c>
      <c r="V47" s="176">
        <f t="shared" si="24"/>
        <v>8634292.9160860591</v>
      </c>
      <c r="W47" s="177">
        <f t="shared" si="22"/>
        <v>3453717.166434424</v>
      </c>
      <c r="X47" s="173">
        <f>+pronostico!H46*2%</f>
        <v>521.39449976365086</v>
      </c>
      <c r="Y47" s="178">
        <f t="shared" si="8"/>
        <v>2158573.2290215148</v>
      </c>
      <c r="Z47" s="178">
        <f t="shared" si="9"/>
        <v>863429.291608606</v>
      </c>
      <c r="AA47" s="173">
        <f>+pronostico!H46*2%</f>
        <v>521.39449976365086</v>
      </c>
      <c r="AB47" s="179">
        <f t="shared" si="10"/>
        <v>2158573.2290215148</v>
      </c>
      <c r="AC47" s="180">
        <f t="shared" si="11"/>
        <v>863429.291608606</v>
      </c>
      <c r="AD47" s="173">
        <f>+pronostico!H46*10%</f>
        <v>2606.9724988182543</v>
      </c>
      <c r="AE47" s="176">
        <f t="shared" si="23"/>
        <v>10792866.145107573</v>
      </c>
      <c r="AF47" s="177">
        <f t="shared" si="23"/>
        <v>4317146.4580430295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+pronostico!H47*50%</f>
        <v>14969.837965196122</v>
      </c>
      <c r="G48" s="137">
        <f t="shared" si="13"/>
        <v>32185151.625171661</v>
      </c>
      <c r="H48" s="138">
        <f t="shared" si="13"/>
        <v>16092575.812585831</v>
      </c>
      <c r="I48" s="137">
        <f t="shared" si="21"/>
        <v>8981.9027791176723</v>
      </c>
      <c r="J48" s="139">
        <f t="shared" si="15"/>
        <v>4490.9513895588361</v>
      </c>
      <c r="K48" s="167">
        <f t="shared" si="0"/>
        <v>1496.9837965196123</v>
      </c>
      <c r="L48" s="168" t="s">
        <v>21</v>
      </c>
      <c r="M48" s="169">
        <f>+pronostico!H47*20%</f>
        <v>5987.9351860784491</v>
      </c>
      <c r="N48" s="170">
        <f t="shared" si="2"/>
        <v>12874060.650068665</v>
      </c>
      <c r="O48" s="171">
        <f t="shared" si="3"/>
        <v>6437030.3250343325</v>
      </c>
      <c r="P48" s="170">
        <f t="shared" si="16"/>
        <v>2993.9675930392245</v>
      </c>
      <c r="Q48" s="172">
        <f t="shared" si="17"/>
        <v>2993.9675930392245</v>
      </c>
      <c r="R48" s="173">
        <f>+pronostico!H47*8%</f>
        <v>2395.1740744313797</v>
      </c>
      <c r="S48" s="174">
        <f t="shared" si="4"/>
        <v>5149624.2600274663</v>
      </c>
      <c r="T48" s="175">
        <f t="shared" si="5"/>
        <v>2574812.1300137332</v>
      </c>
      <c r="U48" s="173">
        <f>+pronostico!H47*8%</f>
        <v>2395.1740744313797</v>
      </c>
      <c r="V48" s="176">
        <f t="shared" si="24"/>
        <v>5149624.2600274663</v>
      </c>
      <c r="W48" s="177">
        <f t="shared" si="22"/>
        <v>2574812.1300137332</v>
      </c>
      <c r="X48" s="173">
        <f>+pronostico!H47*2%</f>
        <v>598.79351860784493</v>
      </c>
      <c r="Y48" s="178">
        <f t="shared" si="8"/>
        <v>1287406.0650068666</v>
      </c>
      <c r="Z48" s="178">
        <f t="shared" si="9"/>
        <v>643703.03250343329</v>
      </c>
      <c r="AA48" s="173">
        <f>+pronostico!H47*2%</f>
        <v>598.79351860784493</v>
      </c>
      <c r="AB48" s="179">
        <f t="shared" si="10"/>
        <v>1287406.0650068666</v>
      </c>
      <c r="AC48" s="180">
        <f t="shared" si="11"/>
        <v>643703.03250343329</v>
      </c>
      <c r="AD48" s="173">
        <f>+pronostico!H47*10%</f>
        <v>2993.9675930392245</v>
      </c>
      <c r="AE48" s="176">
        <f t="shared" si="23"/>
        <v>6437030.3250343325</v>
      </c>
      <c r="AF48" s="177">
        <f t="shared" si="23"/>
        <v>3218515.1625171662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+pronostico!H48*50%</f>
        <v>12281.922692129156</v>
      </c>
      <c r="G49" s="137">
        <f t="shared" si="13"/>
        <v>26406133.788077686</v>
      </c>
      <c r="H49" s="138">
        <f t="shared" si="13"/>
        <v>13203066.894038843</v>
      </c>
      <c r="I49" s="137">
        <f t="shared" si="21"/>
        <v>7369.1536152774934</v>
      </c>
      <c r="J49" s="139">
        <f t="shared" si="15"/>
        <v>3684.5768076387467</v>
      </c>
      <c r="K49" s="167">
        <f t="shared" si="0"/>
        <v>1228.1922692129156</v>
      </c>
      <c r="L49" s="168" t="s">
        <v>21</v>
      </c>
      <c r="M49" s="169">
        <f>+pronostico!H48*20%</f>
        <v>4912.7690768516622</v>
      </c>
      <c r="N49" s="170">
        <f t="shared" si="2"/>
        <v>10562453.515231073</v>
      </c>
      <c r="O49" s="171">
        <f t="shared" si="3"/>
        <v>5281226.7576155365</v>
      </c>
      <c r="P49" s="170">
        <f t="shared" si="16"/>
        <v>2456.3845384258311</v>
      </c>
      <c r="Q49" s="172">
        <f t="shared" si="17"/>
        <v>2456.3845384258311</v>
      </c>
      <c r="R49" s="173">
        <f>+pronostico!H48*8%</f>
        <v>1965.1076307406649</v>
      </c>
      <c r="S49" s="174">
        <f t="shared" si="4"/>
        <v>4224981.4060924295</v>
      </c>
      <c r="T49" s="175">
        <f t="shared" si="5"/>
        <v>2112490.7030462148</v>
      </c>
      <c r="U49" s="173">
        <f>+pronostico!H48*8%</f>
        <v>1965.1076307406649</v>
      </c>
      <c r="V49" s="176">
        <f t="shared" si="24"/>
        <v>4224981.4060924295</v>
      </c>
      <c r="W49" s="177">
        <f t="shared" si="22"/>
        <v>2112490.7030462148</v>
      </c>
      <c r="X49" s="173">
        <f>+pronostico!H48*2%</f>
        <v>491.27690768516624</v>
      </c>
      <c r="Y49" s="178">
        <f t="shared" si="8"/>
        <v>1056245.3515231074</v>
      </c>
      <c r="Z49" s="178">
        <f t="shared" si="9"/>
        <v>528122.67576155369</v>
      </c>
      <c r="AA49" s="173">
        <f>+pronostico!H48*2%</f>
        <v>491.27690768516624</v>
      </c>
      <c r="AB49" s="179">
        <f t="shared" si="10"/>
        <v>1056245.3515231074</v>
      </c>
      <c r="AC49" s="180">
        <f t="shared" si="11"/>
        <v>528122.67576155369</v>
      </c>
      <c r="AD49" s="173">
        <f>+pronostico!H48*10%</f>
        <v>2456.3845384258311</v>
      </c>
      <c r="AE49" s="176">
        <f t="shared" si="23"/>
        <v>5281226.7576155365</v>
      </c>
      <c r="AF49" s="177">
        <f t="shared" si="23"/>
        <v>2640613.3788077682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+pronostico!H49*50%</f>
        <v>8350.4587852772165</v>
      </c>
      <c r="G50" s="137">
        <f t="shared" si="13"/>
        <v>34069871.843931042</v>
      </c>
      <c r="H50" s="138">
        <f t="shared" si="13"/>
        <v>13627948.737572417</v>
      </c>
      <c r="I50" s="137">
        <f t="shared" si="21"/>
        <v>5010.2752711663297</v>
      </c>
      <c r="J50" s="139">
        <f t="shared" si="15"/>
        <v>2505.1376355831649</v>
      </c>
      <c r="K50" s="167">
        <f t="shared" si="0"/>
        <v>835.0458785277217</v>
      </c>
      <c r="L50" s="168" t="s">
        <v>21</v>
      </c>
      <c r="M50" s="169">
        <f>+pronostico!H49*20%</f>
        <v>3340.1835141108868</v>
      </c>
      <c r="N50" s="170">
        <f t="shared" si="2"/>
        <v>13627948.737572419</v>
      </c>
      <c r="O50" s="171">
        <f t="shared" si="3"/>
        <v>5451179.495028968</v>
      </c>
      <c r="P50" s="170">
        <f t="shared" si="16"/>
        <v>1670.0917570554434</v>
      </c>
      <c r="Q50" s="172">
        <f t="shared" si="17"/>
        <v>1670.0917570554434</v>
      </c>
      <c r="R50" s="173">
        <f>+pronostico!H49*8%</f>
        <v>1336.0734056443546</v>
      </c>
      <c r="S50" s="174">
        <f t="shared" si="4"/>
        <v>5451179.495028967</v>
      </c>
      <c r="T50" s="175">
        <f t="shared" si="5"/>
        <v>2180471.798011587</v>
      </c>
      <c r="U50" s="173">
        <f>+pronostico!H49*8%</f>
        <v>1336.0734056443546</v>
      </c>
      <c r="V50" s="176">
        <f t="shared" si="24"/>
        <v>5451179.495028967</v>
      </c>
      <c r="W50" s="177">
        <f t="shared" si="22"/>
        <v>2180471.798011587</v>
      </c>
      <c r="X50" s="173">
        <f>+pronostico!H49*2%</f>
        <v>334.01835141108864</v>
      </c>
      <c r="Y50" s="178">
        <f t="shared" si="8"/>
        <v>1362794.8737572418</v>
      </c>
      <c r="Z50" s="178">
        <f t="shared" si="9"/>
        <v>545117.94950289675</v>
      </c>
      <c r="AA50" s="173">
        <f>+pronostico!H49*2%</f>
        <v>334.01835141108864</v>
      </c>
      <c r="AB50" s="179">
        <f t="shared" si="10"/>
        <v>1362794.8737572418</v>
      </c>
      <c r="AC50" s="180">
        <f t="shared" si="11"/>
        <v>545117.94950289675</v>
      </c>
      <c r="AD50" s="173">
        <f>+pronostico!H49*10%</f>
        <v>1670.0917570554434</v>
      </c>
      <c r="AE50" s="176">
        <f t="shared" si="23"/>
        <v>6813974.3687862093</v>
      </c>
      <c r="AF50" s="177">
        <f t="shared" si="23"/>
        <v>2725589.747514484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+pronostico!H50*50%</f>
        <v>9097.2477823345307</v>
      </c>
      <c r="G51" s="150">
        <f t="shared" si="13"/>
        <v>50580697.669779994</v>
      </c>
      <c r="H51" s="138">
        <f t="shared" si="13"/>
        <v>20232279.067911997</v>
      </c>
      <c r="I51" s="150">
        <f t="shared" si="21"/>
        <v>5458.3486694007179</v>
      </c>
      <c r="J51" s="151">
        <f t="shared" si="15"/>
        <v>2729.1743347003589</v>
      </c>
      <c r="K51" s="181">
        <f t="shared" si="0"/>
        <v>909.72477823345309</v>
      </c>
      <c r="L51" s="182" t="s">
        <v>21</v>
      </c>
      <c r="M51" s="169">
        <f>+pronostico!H50*20%</f>
        <v>3638.8991129338124</v>
      </c>
      <c r="N51" s="170">
        <f t="shared" si="2"/>
        <v>20232279.067911997</v>
      </c>
      <c r="O51" s="171">
        <f t="shared" si="3"/>
        <v>8092911.6271647997</v>
      </c>
      <c r="P51" s="183">
        <f t="shared" si="16"/>
        <v>1819.4495564669062</v>
      </c>
      <c r="Q51" s="184">
        <f t="shared" si="17"/>
        <v>1819.4495564669062</v>
      </c>
      <c r="R51" s="173">
        <f>+pronostico!H50*8%</f>
        <v>1455.559645173525</v>
      </c>
      <c r="S51" s="174">
        <f t="shared" si="4"/>
        <v>8092911.6271647988</v>
      </c>
      <c r="T51" s="175">
        <f t="shared" si="5"/>
        <v>3237164.6508659199</v>
      </c>
      <c r="U51" s="173">
        <f>+pronostico!H50*8%</f>
        <v>1455.559645173525</v>
      </c>
      <c r="V51" s="176">
        <f t="shared" si="24"/>
        <v>8092911.6271647988</v>
      </c>
      <c r="W51" s="177">
        <f t="shared" si="22"/>
        <v>3237164.6508659199</v>
      </c>
      <c r="X51" s="173">
        <f>+pronostico!H50*2%</f>
        <v>363.88991129338126</v>
      </c>
      <c r="Y51" s="178">
        <f t="shared" si="8"/>
        <v>2023227.9067911997</v>
      </c>
      <c r="Z51" s="178">
        <f t="shared" si="9"/>
        <v>809291.16271647997</v>
      </c>
      <c r="AA51" s="173">
        <f>+pronostico!H50*2%</f>
        <v>363.88991129338126</v>
      </c>
      <c r="AB51" s="179">
        <f t="shared" si="10"/>
        <v>2023227.9067911997</v>
      </c>
      <c r="AC51" s="180">
        <f t="shared" si="11"/>
        <v>809291.16271647997</v>
      </c>
      <c r="AD51" s="173">
        <f>+pronostico!H50*10%</f>
        <v>1819.4495564669062</v>
      </c>
      <c r="AE51" s="176">
        <f t="shared" si="23"/>
        <v>10116139.533955999</v>
      </c>
      <c r="AF51" s="177">
        <f t="shared" si="23"/>
        <v>4046455.8135823999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4987641653.9922647</v>
      </c>
      <c r="H52" s="186">
        <f>SUM(H4:H51)</f>
        <v>2203631857.9603262</v>
      </c>
      <c r="I52" s="187"/>
      <c r="J52" s="188"/>
      <c r="K52" s="188"/>
      <c r="L52" s="189"/>
      <c r="M52" s="185"/>
      <c r="N52" s="277">
        <f>SUM(N4:N51)</f>
        <v>1995056661.5969067</v>
      </c>
      <c r="O52" s="190">
        <f>SUM(O4:O51)</f>
        <v>881452743.18413103</v>
      </c>
      <c r="P52" s="187"/>
      <c r="Q52" s="189"/>
      <c r="R52" s="185"/>
      <c r="S52" s="274">
        <f>SUM(S4:S51)</f>
        <v>798022664.63876271</v>
      </c>
      <c r="T52" s="191">
        <f>SUM(T4:T51)</f>
        <v>352581097.27365226</v>
      </c>
      <c r="U52" s="185"/>
      <c r="V52" s="274">
        <f>SUM(V4:V51)</f>
        <v>565770163.03876245</v>
      </c>
      <c r="W52" s="191">
        <f>SUM(W4:W51)</f>
        <v>246570454.7936523</v>
      </c>
      <c r="X52" s="185"/>
      <c r="Y52" s="274">
        <f>SUM(Y4:Y51)</f>
        <v>199505666.15969068</v>
      </c>
      <c r="Z52" s="192">
        <f>SUM(Z4:Z51)</f>
        <v>88145274.318413064</v>
      </c>
      <c r="AA52" s="193"/>
      <c r="AB52" s="274">
        <f>SUM(AB4:AB51)</f>
        <v>199505666.15969068</v>
      </c>
      <c r="AC52" s="194">
        <f>SUM(AC4:AC51)</f>
        <v>88145274.318413064</v>
      </c>
      <c r="AD52" s="193"/>
      <c r="AE52" s="274">
        <f>SUM(AE4:AE51)</f>
        <v>997528330.79845333</v>
      </c>
      <c r="AF52" s="194">
        <f>SUM(AF4:AF51)</f>
        <v>440726371.59206551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1496292496.1976793</v>
      </c>
      <c r="H53" s="272"/>
      <c r="I53" s="255"/>
      <c r="J53" s="254"/>
      <c r="K53" s="259"/>
      <c r="L53" s="256"/>
      <c r="M53" s="253"/>
      <c r="N53" s="278">
        <f>+N52*20%</f>
        <v>399011332.31938136</v>
      </c>
      <c r="O53" s="272"/>
      <c r="P53" s="260"/>
      <c r="Q53" s="261"/>
      <c r="R53" s="262"/>
      <c r="S53" s="275">
        <f>+S52*12%</f>
        <v>95762719.756651521</v>
      </c>
      <c r="T53" s="272"/>
      <c r="U53" s="283"/>
      <c r="V53" s="275">
        <f>+V52*12%</f>
        <v>67892419.564651489</v>
      </c>
      <c r="W53" s="272"/>
      <c r="X53" s="283"/>
      <c r="Y53" s="275"/>
      <c r="Z53" s="284"/>
      <c r="AA53" s="283"/>
      <c r="AB53" s="275">
        <f>+AB52*12%</f>
        <v>23940679.93916288</v>
      </c>
      <c r="AC53" s="272"/>
      <c r="AD53" s="283"/>
      <c r="AE53" s="275">
        <f>+AE52*12%</f>
        <v>119703399.6958144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3491349157.7945852</v>
      </c>
      <c r="H54" s="273"/>
      <c r="I54" s="268"/>
      <c r="J54" s="267"/>
      <c r="K54" s="267"/>
      <c r="L54" s="269"/>
      <c r="M54" s="266"/>
      <c r="N54" s="279">
        <f>+N52-N53</f>
        <v>1596045329.2775254</v>
      </c>
      <c r="O54" s="273"/>
      <c r="P54" s="268"/>
      <c r="Q54" s="269"/>
      <c r="R54" s="266"/>
      <c r="S54" s="276">
        <f>+S52-S53</f>
        <v>702259944.88211119</v>
      </c>
      <c r="T54" s="273"/>
      <c r="U54" s="285"/>
      <c r="V54" s="276">
        <f>+V52-V53</f>
        <v>497877743.47411096</v>
      </c>
      <c r="W54" s="273"/>
      <c r="X54" s="285"/>
      <c r="Y54" s="276">
        <f>+Y52-Y53</f>
        <v>199505666.15969068</v>
      </c>
      <c r="Z54" s="286"/>
      <c r="AA54" s="285"/>
      <c r="AB54" s="276">
        <f>+AB52-AB53</f>
        <v>175564986.2205278</v>
      </c>
      <c r="AC54" s="273"/>
      <c r="AD54" s="285"/>
      <c r="AE54" s="276">
        <f>+AE52-AE53</f>
        <v>877824931.10263896</v>
      </c>
      <c r="AF54" s="273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786" t="s">
        <v>161</v>
      </c>
      <c r="G56" s="787"/>
      <c r="H56" s="788"/>
      <c r="M56" s="786" t="s">
        <v>160</v>
      </c>
      <c r="N56" s="787"/>
      <c r="O56" s="788"/>
      <c r="R56" s="786" t="s">
        <v>159</v>
      </c>
      <c r="S56" s="787"/>
      <c r="T56" s="788"/>
    </row>
    <row r="57" spans="1:32" x14ac:dyDescent="0.25">
      <c r="F57" s="3" t="s">
        <v>155</v>
      </c>
      <c r="G57" s="3"/>
      <c r="H57" s="271">
        <f>+G52</f>
        <v>4987641653.9922647</v>
      </c>
      <c r="M57" s="3" t="s">
        <v>155</v>
      </c>
      <c r="N57" s="3"/>
      <c r="O57" s="271">
        <f>+N52</f>
        <v>1995056661.5969067</v>
      </c>
      <c r="R57" s="3" t="s">
        <v>155</v>
      </c>
      <c r="S57" s="3"/>
      <c r="T57" s="271">
        <f>S52+V52+Y52+AB52+AE52</f>
        <v>2760332490.7953596</v>
      </c>
    </row>
    <row r="58" spans="1:32" x14ac:dyDescent="0.25">
      <c r="F58" s="3" t="s">
        <v>156</v>
      </c>
      <c r="G58" s="3"/>
      <c r="H58" s="271">
        <f>+G52-H52</f>
        <v>2784009796.0319386</v>
      </c>
      <c r="M58" s="3" t="s">
        <v>156</v>
      </c>
      <c r="N58" s="3"/>
      <c r="O58" s="271">
        <f>+N52-O52</f>
        <v>1113603918.4127755</v>
      </c>
      <c r="R58" s="3" t="s">
        <v>156</v>
      </c>
      <c r="S58" s="3"/>
      <c r="T58" s="271">
        <f>T57-T59</f>
        <v>1544164018.4991634</v>
      </c>
    </row>
    <row r="59" spans="1:32" x14ac:dyDescent="0.25">
      <c r="F59" s="3" t="s">
        <v>157</v>
      </c>
      <c r="G59" s="3"/>
      <c r="H59" s="271">
        <f>+H52</f>
        <v>2203631857.9603262</v>
      </c>
      <c r="M59" s="3" t="s">
        <v>157</v>
      </c>
      <c r="N59" s="3"/>
      <c r="O59" s="271">
        <f>+O52</f>
        <v>881452743.18413103</v>
      </c>
      <c r="R59" s="3" t="s">
        <v>157</v>
      </c>
      <c r="S59" s="3"/>
      <c r="T59" s="271">
        <f>T52+W52+Z52+AC52+AF52</f>
        <v>1216168472.2961962</v>
      </c>
    </row>
    <row r="60" spans="1:32" x14ac:dyDescent="0.25">
      <c r="F60" s="3" t="s">
        <v>147</v>
      </c>
      <c r="G60" s="3"/>
      <c r="H60" s="271">
        <f>+G53</f>
        <v>1496292496.1976793</v>
      </c>
      <c r="M60" s="3" t="s">
        <v>147</v>
      </c>
      <c r="N60" s="3"/>
      <c r="O60" s="271">
        <f>+N53</f>
        <v>399011332.31938136</v>
      </c>
      <c r="R60" s="3" t="s">
        <v>147</v>
      </c>
      <c r="S60" s="3"/>
      <c r="T60" s="271">
        <f>S53+V53+AB53+AE53</f>
        <v>307299218.95628029</v>
      </c>
    </row>
    <row r="61" spans="1:32" x14ac:dyDescent="0.25">
      <c r="F61" s="3" t="s">
        <v>158</v>
      </c>
      <c r="G61" s="3"/>
      <c r="H61" s="271">
        <f>+H59-H60</f>
        <v>707339361.76264691</v>
      </c>
      <c r="M61" s="3" t="s">
        <v>158</v>
      </c>
      <c r="N61" s="3"/>
      <c r="O61" s="271">
        <f>+O59-O60</f>
        <v>482441410.86474967</v>
      </c>
      <c r="R61" s="3" t="s">
        <v>158</v>
      </c>
      <c r="S61" s="3"/>
      <c r="T61" s="271">
        <f>+T59-T60</f>
        <v>908869253.33991599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K43" workbookViewId="0">
      <selection activeCell="F56" sqref="F56:H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3.7109375" style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7.28515625" style="1" customWidth="1"/>
    <col min="30" max="30" width="11.57031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774" t="s">
        <v>154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AF1" s="776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+pronostico!I3*50%</f>
        <v>79642.024326871688</v>
      </c>
      <c r="G4" s="137">
        <f>F4*D4</f>
        <v>391042339.44493997</v>
      </c>
      <c r="H4" s="138">
        <f>G4*E4</f>
        <v>156416935.77797601</v>
      </c>
      <c r="I4" s="137">
        <f>+F4*50%</f>
        <v>39821.012163435844</v>
      </c>
      <c r="J4" s="139">
        <f>+F4*30%</f>
        <v>23892.607298061506</v>
      </c>
      <c r="K4" s="167">
        <f t="shared" ref="K4:K51" si="0">+F4*10%</f>
        <v>7964.2024326871688</v>
      </c>
      <c r="L4" s="168">
        <f t="shared" ref="L4:L18" si="1">+F4*10%</f>
        <v>7964.2024326871688</v>
      </c>
      <c r="M4" s="169">
        <f>+pronostico!I3*20%</f>
        <v>31856.809730748675</v>
      </c>
      <c r="N4" s="170">
        <f t="shared" ref="N4:N51" si="2">M4*D4</f>
        <v>156416935.77797601</v>
      </c>
      <c r="O4" s="171">
        <f t="shared" ref="O4:O51" si="3">N4*E4</f>
        <v>62566774.311190404</v>
      </c>
      <c r="P4" s="170">
        <f>+M4*50%</f>
        <v>15928.404865374338</v>
      </c>
      <c r="Q4" s="172">
        <f>+M4*50%</f>
        <v>15928.404865374338</v>
      </c>
      <c r="R4" s="173">
        <f>+pronostico!I3*8%</f>
        <v>12742.723892299471</v>
      </c>
      <c r="S4" s="174">
        <f t="shared" ref="S4:S51" si="4">R4*D4</f>
        <v>62566774.311190404</v>
      </c>
      <c r="T4" s="175">
        <f t="shared" ref="T4:T51" si="5">S4*E4</f>
        <v>25026709.724476162</v>
      </c>
      <c r="U4" s="173">
        <f>+pronostico!I3*8%</f>
        <v>12742.723892299471</v>
      </c>
      <c r="V4" s="176">
        <f t="shared" ref="V4:V35" si="6">U4*D4</f>
        <v>62566774.311190404</v>
      </c>
      <c r="W4" s="177">
        <f t="shared" ref="W4:W35" si="7">V4*E4</f>
        <v>25026709.724476162</v>
      </c>
      <c r="X4" s="173">
        <f>+pronostico!I3*2%</f>
        <v>3185.6809730748678</v>
      </c>
      <c r="Y4" s="178">
        <f t="shared" ref="Y4:Y51" si="8">X4*D4</f>
        <v>15641693.577797601</v>
      </c>
      <c r="Z4" s="178">
        <f t="shared" ref="Z4:Z51" si="9">Y4*E4</f>
        <v>6256677.4311190406</v>
      </c>
      <c r="AA4" s="173">
        <f>+pronostico!I3*2%</f>
        <v>3185.6809730748678</v>
      </c>
      <c r="AB4" s="176">
        <f t="shared" ref="AB4:AB51" si="10">AA4*D4</f>
        <v>15641693.577797601</v>
      </c>
      <c r="AC4" s="177">
        <f t="shared" ref="AC4:AC51" si="11">AB4*E4</f>
        <v>6256677.4311190406</v>
      </c>
      <c r="AD4" s="173">
        <f>+pronostico!I3*10%</f>
        <v>15928.404865374338</v>
      </c>
      <c r="AE4" s="176">
        <f>+AD4*D4</f>
        <v>78208467.888988003</v>
      </c>
      <c r="AF4" s="177">
        <f>+AE4*E4</f>
        <v>31283387.155595202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+pronostico!I4*50%</f>
        <v>55599.076157397096</v>
      </c>
      <c r="G5" s="137">
        <f t="shared" ref="G5:H51" si="13">F5*D5</f>
        <v>272991463.93281972</v>
      </c>
      <c r="H5" s="138">
        <f t="shared" si="13"/>
        <v>109196585.5731279</v>
      </c>
      <c r="I5" s="137">
        <f t="shared" ref="I5:I20" si="14">+F5*50%</f>
        <v>27799.538078698548</v>
      </c>
      <c r="J5" s="139">
        <f t="shared" ref="J5:J51" si="15">+F5*30%</f>
        <v>16679.722847219127</v>
      </c>
      <c r="K5" s="167">
        <f t="shared" si="0"/>
        <v>5559.9076157397103</v>
      </c>
      <c r="L5" s="168">
        <f t="shared" si="1"/>
        <v>5559.9076157397103</v>
      </c>
      <c r="M5" s="169">
        <f>+pronostico!I4*20%</f>
        <v>22239.630462958841</v>
      </c>
      <c r="N5" s="170">
        <f t="shared" si="2"/>
        <v>109196585.57312791</v>
      </c>
      <c r="O5" s="171">
        <f t="shared" si="3"/>
        <v>43678634.229251169</v>
      </c>
      <c r="P5" s="170">
        <f t="shared" ref="P5:P51" si="16">+M5*50%</f>
        <v>11119.815231479421</v>
      </c>
      <c r="Q5" s="172">
        <f t="shared" ref="Q5:Q51" si="17">+M5*50%</f>
        <v>11119.815231479421</v>
      </c>
      <c r="R5" s="173">
        <f>+pronostico!I4*8%</f>
        <v>8895.8521851835358</v>
      </c>
      <c r="S5" s="174">
        <f t="shared" si="4"/>
        <v>43678634.229251161</v>
      </c>
      <c r="T5" s="175">
        <f t="shared" si="5"/>
        <v>17471453.691700466</v>
      </c>
      <c r="U5" s="173">
        <f>+pronostico!I4*8%</f>
        <v>8895.8521851835358</v>
      </c>
      <c r="V5" s="176">
        <f t="shared" si="6"/>
        <v>43678634.229251161</v>
      </c>
      <c r="W5" s="177">
        <f t="shared" si="7"/>
        <v>17471453.691700466</v>
      </c>
      <c r="X5" s="173">
        <f>+pronostico!I4*2%</f>
        <v>2223.9630462958839</v>
      </c>
      <c r="Y5" s="178">
        <f t="shared" si="8"/>
        <v>10919658.55731279</v>
      </c>
      <c r="Z5" s="178">
        <f t="shared" si="9"/>
        <v>4367863.4229251165</v>
      </c>
      <c r="AA5" s="173">
        <f>+pronostico!I4*2%</f>
        <v>2223.9630462958839</v>
      </c>
      <c r="AB5" s="179">
        <f t="shared" si="10"/>
        <v>10919658.55731279</v>
      </c>
      <c r="AC5" s="180">
        <f t="shared" si="11"/>
        <v>4367863.4229251165</v>
      </c>
      <c r="AD5" s="173">
        <f>+pronostico!I4*10%</f>
        <v>11119.815231479421</v>
      </c>
      <c r="AE5" s="176">
        <f t="shared" ref="AE5:AF20" si="18">+AD5*D5</f>
        <v>54598292.786563955</v>
      </c>
      <c r="AF5" s="177">
        <f t="shared" si="18"/>
        <v>21839317.114625584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+pronostico!I5*50%</f>
        <v>16429.063643992478</v>
      </c>
      <c r="G6" s="137">
        <f t="shared" si="13"/>
        <v>98574381.863954872</v>
      </c>
      <c r="H6" s="138">
        <f t="shared" si="13"/>
        <v>39429752.745581947</v>
      </c>
      <c r="I6" s="137">
        <f t="shared" si="14"/>
        <v>8214.5318219962392</v>
      </c>
      <c r="J6" s="139">
        <f t="shared" si="15"/>
        <v>4928.7190931977429</v>
      </c>
      <c r="K6" s="167">
        <f t="shared" si="0"/>
        <v>1642.9063643992479</v>
      </c>
      <c r="L6" s="168">
        <f t="shared" si="1"/>
        <v>1642.9063643992479</v>
      </c>
      <c r="M6" s="169">
        <f>+pronostico!I5*20%</f>
        <v>6571.6254575969915</v>
      </c>
      <c r="N6" s="170">
        <f t="shared" si="2"/>
        <v>39429752.745581947</v>
      </c>
      <c r="O6" s="171">
        <f t="shared" si="3"/>
        <v>15771901.09823278</v>
      </c>
      <c r="P6" s="170">
        <f t="shared" si="16"/>
        <v>3285.8127287984958</v>
      </c>
      <c r="Q6" s="172">
        <f t="shared" si="17"/>
        <v>3285.8127287984958</v>
      </c>
      <c r="R6" s="173">
        <f>+pronostico!I5*8%</f>
        <v>2628.6501830387965</v>
      </c>
      <c r="S6" s="174">
        <f t="shared" si="4"/>
        <v>15771901.09823278</v>
      </c>
      <c r="T6" s="175">
        <f t="shared" si="5"/>
        <v>6308760.4392931126</v>
      </c>
      <c r="U6" s="173">
        <f>+pronostico!I5*8%</f>
        <v>2628.6501830387965</v>
      </c>
      <c r="V6" s="176">
        <f t="shared" si="6"/>
        <v>15771901.09823278</v>
      </c>
      <c r="W6" s="177">
        <f t="shared" si="7"/>
        <v>6308760.4392931126</v>
      </c>
      <c r="X6" s="173">
        <f>+pronostico!I5*2%</f>
        <v>657.16254575969913</v>
      </c>
      <c r="Y6" s="178">
        <f t="shared" si="8"/>
        <v>3942975.2745581949</v>
      </c>
      <c r="Z6" s="178">
        <f t="shared" si="9"/>
        <v>1577190.1098232782</v>
      </c>
      <c r="AA6" s="173">
        <f>+pronostico!I5*2%</f>
        <v>657.16254575969913</v>
      </c>
      <c r="AB6" s="179">
        <f t="shared" si="10"/>
        <v>3942975.2745581949</v>
      </c>
      <c r="AC6" s="180">
        <f t="shared" si="11"/>
        <v>1577190.1098232782</v>
      </c>
      <c r="AD6" s="173">
        <f>+pronostico!I5*10%</f>
        <v>3285.8127287984958</v>
      </c>
      <c r="AE6" s="176">
        <f t="shared" si="18"/>
        <v>19714876.372790974</v>
      </c>
      <c r="AF6" s="177">
        <f t="shared" si="18"/>
        <v>7885950.5491163898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+pronostico!I6*50%</f>
        <v>30856.934590195928</v>
      </c>
      <c r="G7" s="137">
        <f t="shared" si="13"/>
        <v>158296074.44770512</v>
      </c>
      <c r="H7" s="138">
        <f t="shared" si="13"/>
        <v>63318429.779082052</v>
      </c>
      <c r="I7" s="137">
        <f t="shared" si="14"/>
        <v>15428.467295097964</v>
      </c>
      <c r="J7" s="139">
        <f t="shared" si="15"/>
        <v>9257.0803770587772</v>
      </c>
      <c r="K7" s="167">
        <f t="shared" si="0"/>
        <v>3085.6934590195929</v>
      </c>
      <c r="L7" s="168">
        <f t="shared" si="1"/>
        <v>3085.6934590195929</v>
      </c>
      <c r="M7" s="169">
        <f>+pronostico!I6*20%</f>
        <v>12342.773836078371</v>
      </c>
      <c r="N7" s="170">
        <f t="shared" si="2"/>
        <v>63318429.779082045</v>
      </c>
      <c r="O7" s="171">
        <f t="shared" si="3"/>
        <v>25327371.911632821</v>
      </c>
      <c r="P7" s="170">
        <f t="shared" si="16"/>
        <v>6171.3869180391857</v>
      </c>
      <c r="Q7" s="172">
        <f t="shared" si="17"/>
        <v>6171.3869180391857</v>
      </c>
      <c r="R7" s="173">
        <f>+pronostico!I6*8%</f>
        <v>4937.1095344313489</v>
      </c>
      <c r="S7" s="174">
        <f t="shared" si="4"/>
        <v>25327371.911632821</v>
      </c>
      <c r="T7" s="175">
        <f t="shared" si="5"/>
        <v>10130948.76465313</v>
      </c>
      <c r="U7" s="173">
        <f>+pronostico!I6*8%</f>
        <v>4937.1095344313489</v>
      </c>
      <c r="V7" s="176">
        <f t="shared" si="6"/>
        <v>25327371.911632821</v>
      </c>
      <c r="W7" s="177">
        <f t="shared" si="7"/>
        <v>10130948.76465313</v>
      </c>
      <c r="X7" s="173">
        <f>+pronostico!I6*2%</f>
        <v>1234.2773836078372</v>
      </c>
      <c r="Y7" s="178">
        <f t="shared" si="8"/>
        <v>6331842.9779082052</v>
      </c>
      <c r="Z7" s="178">
        <f t="shared" si="9"/>
        <v>2532737.1911632824</v>
      </c>
      <c r="AA7" s="173">
        <f>+pronostico!I6*2%</f>
        <v>1234.2773836078372</v>
      </c>
      <c r="AB7" s="179">
        <f t="shared" si="10"/>
        <v>6331842.9779082052</v>
      </c>
      <c r="AC7" s="180">
        <f t="shared" si="11"/>
        <v>2532737.1911632824</v>
      </c>
      <c r="AD7" s="173">
        <f>+pronostico!I6*10%</f>
        <v>6171.3869180391857</v>
      </c>
      <c r="AE7" s="176">
        <f t="shared" si="18"/>
        <v>31659214.889541022</v>
      </c>
      <c r="AF7" s="177">
        <f t="shared" si="18"/>
        <v>12663685.95581641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+pronostico!I7*50%</f>
        <v>22865.779734786211</v>
      </c>
      <c r="G8" s="137">
        <f t="shared" si="13"/>
        <v>195502416.73242211</v>
      </c>
      <c r="H8" s="138">
        <f t="shared" si="13"/>
        <v>78200966.692968845</v>
      </c>
      <c r="I8" s="137">
        <f t="shared" si="14"/>
        <v>11432.889867393105</v>
      </c>
      <c r="J8" s="139">
        <f t="shared" si="15"/>
        <v>6859.7339204358632</v>
      </c>
      <c r="K8" s="167">
        <f t="shared" si="0"/>
        <v>2286.5779734786211</v>
      </c>
      <c r="L8" s="168">
        <f t="shared" si="1"/>
        <v>2286.5779734786211</v>
      </c>
      <c r="M8" s="169">
        <f>+pronostico!I7*20%</f>
        <v>9146.3118939144842</v>
      </c>
      <c r="N8" s="170">
        <f t="shared" si="2"/>
        <v>78200966.692968845</v>
      </c>
      <c r="O8" s="171">
        <f t="shared" si="3"/>
        <v>31280386.67718754</v>
      </c>
      <c r="P8" s="170">
        <f t="shared" si="16"/>
        <v>4573.1559469572421</v>
      </c>
      <c r="Q8" s="172">
        <f t="shared" si="17"/>
        <v>4573.1559469572421</v>
      </c>
      <c r="R8" s="173">
        <f>+pronostico!I7*8%</f>
        <v>3658.5247575657936</v>
      </c>
      <c r="S8" s="174">
        <f t="shared" si="4"/>
        <v>31280386.677187536</v>
      </c>
      <c r="T8" s="175">
        <f t="shared" si="5"/>
        <v>12512154.670875015</v>
      </c>
      <c r="U8" s="173">
        <f>+pronostico!I7*8%</f>
        <v>3658.5247575657936</v>
      </c>
      <c r="V8" s="176">
        <f t="shared" si="6"/>
        <v>31280386.677187536</v>
      </c>
      <c r="W8" s="177">
        <f t="shared" si="7"/>
        <v>12512154.670875015</v>
      </c>
      <c r="X8" s="173">
        <f>+pronostico!I7*2%</f>
        <v>914.6311893914484</v>
      </c>
      <c r="Y8" s="178">
        <f t="shared" si="8"/>
        <v>7820096.669296884</v>
      </c>
      <c r="Z8" s="178">
        <f t="shared" si="9"/>
        <v>3128038.6677187537</v>
      </c>
      <c r="AA8" s="173">
        <f>+pronostico!I7*2%</f>
        <v>914.6311893914484</v>
      </c>
      <c r="AB8" s="179">
        <f t="shared" si="10"/>
        <v>7820096.669296884</v>
      </c>
      <c r="AC8" s="180">
        <f t="shared" si="11"/>
        <v>3128038.6677187537</v>
      </c>
      <c r="AD8" s="173">
        <f>+pronostico!I7*10%</f>
        <v>4573.1559469572421</v>
      </c>
      <c r="AE8" s="176">
        <f t="shared" si="18"/>
        <v>39100483.346484423</v>
      </c>
      <c r="AF8" s="177">
        <f t="shared" si="18"/>
        <v>15640193.33859377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+pronostico!I8*50%</f>
        <v>25827.934911009288</v>
      </c>
      <c r="G9" s="137">
        <f t="shared" si="13"/>
        <v>260862142.60119382</v>
      </c>
      <c r="H9" s="138">
        <f t="shared" si="13"/>
        <v>104344857.04047753</v>
      </c>
      <c r="I9" s="137">
        <f t="shared" si="14"/>
        <v>12913.967455504644</v>
      </c>
      <c r="J9" s="139">
        <f t="shared" si="15"/>
        <v>7748.3804733027864</v>
      </c>
      <c r="K9" s="167">
        <f t="shared" si="0"/>
        <v>2582.7934911009288</v>
      </c>
      <c r="L9" s="168">
        <f t="shared" si="1"/>
        <v>2582.7934911009288</v>
      </c>
      <c r="M9" s="169">
        <f>+pronostico!I8*20%</f>
        <v>10331.173964403715</v>
      </c>
      <c r="N9" s="170">
        <f t="shared" si="2"/>
        <v>104344857.04047753</v>
      </c>
      <c r="O9" s="171">
        <f t="shared" si="3"/>
        <v>41737942.816191018</v>
      </c>
      <c r="P9" s="170">
        <f t="shared" si="16"/>
        <v>5165.5869822018576</v>
      </c>
      <c r="Q9" s="172">
        <f t="shared" si="17"/>
        <v>5165.5869822018576</v>
      </c>
      <c r="R9" s="173">
        <f>+pronostico!I8*8%</f>
        <v>4132.4695857614861</v>
      </c>
      <c r="S9" s="174">
        <f t="shared" si="4"/>
        <v>41737942.81619101</v>
      </c>
      <c r="T9" s="175">
        <f t="shared" si="5"/>
        <v>16695177.126476405</v>
      </c>
      <c r="U9" s="173">
        <f>+pronostico!I8*8%</f>
        <v>4132.4695857614861</v>
      </c>
      <c r="V9" s="176">
        <f t="shared" si="6"/>
        <v>41737942.81619101</v>
      </c>
      <c r="W9" s="177">
        <f t="shared" si="7"/>
        <v>16695177.126476405</v>
      </c>
      <c r="X9" s="173">
        <f>+pronostico!I8*2%</f>
        <v>1033.1173964403715</v>
      </c>
      <c r="Y9" s="178">
        <f t="shared" si="8"/>
        <v>10434485.704047753</v>
      </c>
      <c r="Z9" s="178">
        <f t="shared" si="9"/>
        <v>4173794.2816191013</v>
      </c>
      <c r="AA9" s="173">
        <f>+pronostico!I8*2%</f>
        <v>1033.1173964403715</v>
      </c>
      <c r="AB9" s="179">
        <f t="shared" si="10"/>
        <v>10434485.704047753</v>
      </c>
      <c r="AC9" s="180">
        <f t="shared" si="11"/>
        <v>4173794.2816191013</v>
      </c>
      <c r="AD9" s="173">
        <f>+pronostico!I8*10%</f>
        <v>5165.5869822018576</v>
      </c>
      <c r="AE9" s="176">
        <f t="shared" si="18"/>
        <v>52172428.520238765</v>
      </c>
      <c r="AF9" s="177">
        <f t="shared" si="18"/>
        <v>20868971.408095509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+pronostico!I9*50%</f>
        <v>31244.017391361307</v>
      </c>
      <c r="G10" s="137">
        <f t="shared" si="13"/>
        <v>73111000.695785463</v>
      </c>
      <c r="H10" s="138">
        <f t="shared" si="13"/>
        <v>36555500.347892731</v>
      </c>
      <c r="I10" s="137">
        <f t="shared" si="14"/>
        <v>15622.008695680654</v>
      </c>
      <c r="J10" s="139">
        <f t="shared" si="15"/>
        <v>9373.205217408391</v>
      </c>
      <c r="K10" s="167">
        <f t="shared" si="0"/>
        <v>3124.4017391361308</v>
      </c>
      <c r="L10" s="168">
        <f t="shared" si="1"/>
        <v>3124.4017391361308</v>
      </c>
      <c r="M10" s="169">
        <f>+pronostico!I9*20%</f>
        <v>12497.606956544523</v>
      </c>
      <c r="N10" s="170">
        <f t="shared" si="2"/>
        <v>29244400.278314184</v>
      </c>
      <c r="O10" s="171">
        <f t="shared" si="3"/>
        <v>14622200.139157092</v>
      </c>
      <c r="P10" s="170">
        <f t="shared" si="16"/>
        <v>6248.8034782722616</v>
      </c>
      <c r="Q10" s="172">
        <f t="shared" si="17"/>
        <v>6248.8034782722616</v>
      </c>
      <c r="R10" s="173">
        <f>+pronostico!I9*8%</f>
        <v>4999.0427826178093</v>
      </c>
      <c r="S10" s="174">
        <f t="shared" si="4"/>
        <v>11697760.111325674</v>
      </c>
      <c r="T10" s="175">
        <f t="shared" si="5"/>
        <v>5848880.0556628369</v>
      </c>
      <c r="U10" s="173">
        <f>+pronostico!I9*8%</f>
        <v>4999.0427826178093</v>
      </c>
      <c r="V10" s="176">
        <f t="shared" si="6"/>
        <v>11697760.111325674</v>
      </c>
      <c r="W10" s="177">
        <f t="shared" si="7"/>
        <v>5848880.0556628369</v>
      </c>
      <c r="X10" s="173">
        <f>+pronostico!I9*2%</f>
        <v>1249.7606956544523</v>
      </c>
      <c r="Y10" s="178">
        <f t="shared" si="8"/>
        <v>2924440.0278314184</v>
      </c>
      <c r="Z10" s="178">
        <f t="shared" si="9"/>
        <v>1462220.0139157092</v>
      </c>
      <c r="AA10" s="173">
        <f>+pronostico!I9*2%</f>
        <v>1249.7606956544523</v>
      </c>
      <c r="AB10" s="179">
        <f t="shared" si="10"/>
        <v>2924440.0278314184</v>
      </c>
      <c r="AC10" s="180">
        <f t="shared" si="11"/>
        <v>1462220.0139157092</v>
      </c>
      <c r="AD10" s="173">
        <f>+pronostico!I9*10%</f>
        <v>6248.8034782722616</v>
      </c>
      <c r="AE10" s="176">
        <f t="shared" si="18"/>
        <v>14622200.139157092</v>
      </c>
      <c r="AF10" s="177">
        <f t="shared" si="18"/>
        <v>7311100.0695785461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+pronostico!I10*50%</f>
        <v>13203.948265882456</v>
      </c>
      <c r="G11" s="137">
        <f t="shared" si="13"/>
        <v>30897238.942164946</v>
      </c>
      <c r="H11" s="138">
        <f t="shared" si="13"/>
        <v>15448619.471082473</v>
      </c>
      <c r="I11" s="137">
        <f t="shared" si="14"/>
        <v>6601.9741329412282</v>
      </c>
      <c r="J11" s="139">
        <f t="shared" si="15"/>
        <v>3961.1844797647368</v>
      </c>
      <c r="K11" s="167">
        <f t="shared" si="0"/>
        <v>1320.3948265882457</v>
      </c>
      <c r="L11" s="168">
        <f t="shared" si="1"/>
        <v>1320.3948265882457</v>
      </c>
      <c r="M11" s="169">
        <f>+pronostico!I10*20%</f>
        <v>5281.5793063529827</v>
      </c>
      <c r="N11" s="170">
        <f t="shared" si="2"/>
        <v>12358895.57686598</v>
      </c>
      <c r="O11" s="171">
        <f t="shared" si="3"/>
        <v>6179447.7884329902</v>
      </c>
      <c r="P11" s="170">
        <f t="shared" si="16"/>
        <v>2640.7896531764914</v>
      </c>
      <c r="Q11" s="172">
        <f t="shared" si="17"/>
        <v>2640.7896531764914</v>
      </c>
      <c r="R11" s="173">
        <f>+pronostico!I10*8%</f>
        <v>2112.6317225411931</v>
      </c>
      <c r="S11" s="174">
        <f t="shared" si="4"/>
        <v>4943558.2307463922</v>
      </c>
      <c r="T11" s="175">
        <f t="shared" si="5"/>
        <v>2471779.1153731961</v>
      </c>
      <c r="U11" s="173">
        <f>+pronostico!I10*8%</f>
        <v>2112.6317225411931</v>
      </c>
      <c r="V11" s="176">
        <f t="shared" si="6"/>
        <v>4943558.2307463922</v>
      </c>
      <c r="W11" s="177">
        <f t="shared" si="7"/>
        <v>2471779.1153731961</v>
      </c>
      <c r="X11" s="173">
        <f>+pronostico!I10*2%</f>
        <v>528.15793063529827</v>
      </c>
      <c r="Y11" s="178">
        <f t="shared" si="8"/>
        <v>1235889.557686598</v>
      </c>
      <c r="Z11" s="178">
        <f t="shared" si="9"/>
        <v>617944.77884329902</v>
      </c>
      <c r="AA11" s="173">
        <f>+pronostico!I10*2%</f>
        <v>528.15793063529827</v>
      </c>
      <c r="AB11" s="179">
        <f t="shared" si="10"/>
        <v>1235889.557686598</v>
      </c>
      <c r="AC11" s="180">
        <f t="shared" si="11"/>
        <v>617944.77884329902</v>
      </c>
      <c r="AD11" s="173">
        <f>+pronostico!I10*10%</f>
        <v>2640.7896531764914</v>
      </c>
      <c r="AE11" s="176">
        <f t="shared" si="18"/>
        <v>6179447.7884329902</v>
      </c>
      <c r="AF11" s="177">
        <f t="shared" si="18"/>
        <v>3089723.8942164951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+pronostico!I11*50%</f>
        <v>52351.690595485416</v>
      </c>
      <c r="G12" s="137">
        <f t="shared" si="13"/>
        <v>117267786.93388733</v>
      </c>
      <c r="H12" s="138">
        <f t="shared" si="13"/>
        <v>58633893.466943666</v>
      </c>
      <c r="I12" s="137">
        <f t="shared" si="14"/>
        <v>26175.845297742708</v>
      </c>
      <c r="J12" s="139">
        <f t="shared" si="15"/>
        <v>15705.507178645625</v>
      </c>
      <c r="K12" s="167">
        <f t="shared" si="0"/>
        <v>5235.1690595485416</v>
      </c>
      <c r="L12" s="168">
        <f t="shared" si="1"/>
        <v>5235.1690595485416</v>
      </c>
      <c r="M12" s="169">
        <f>+pronostico!I11*20%</f>
        <v>20940.676238194166</v>
      </c>
      <c r="N12" s="170">
        <f t="shared" si="2"/>
        <v>46907114.773554936</v>
      </c>
      <c r="O12" s="171">
        <f t="shared" si="3"/>
        <v>23453557.386777468</v>
      </c>
      <c r="P12" s="170">
        <f t="shared" si="16"/>
        <v>10470.338119097083</v>
      </c>
      <c r="Q12" s="172">
        <f t="shared" si="17"/>
        <v>10470.338119097083</v>
      </c>
      <c r="R12" s="173">
        <f>+pronostico!I11*8%</f>
        <v>8376.2704952776658</v>
      </c>
      <c r="S12" s="174">
        <f t="shared" si="4"/>
        <v>18762845.909421973</v>
      </c>
      <c r="T12" s="175">
        <f t="shared" si="5"/>
        <v>9381422.9547109865</v>
      </c>
      <c r="U12" s="173">
        <f>+pronostico!I11*8%</f>
        <v>8376.2704952776658</v>
      </c>
      <c r="V12" s="176">
        <f t="shared" si="6"/>
        <v>18762845.909421973</v>
      </c>
      <c r="W12" s="177">
        <f t="shared" si="7"/>
        <v>9381422.9547109865</v>
      </c>
      <c r="X12" s="173">
        <f>+pronostico!I11*2%</f>
        <v>2094.0676238194164</v>
      </c>
      <c r="Y12" s="178">
        <f t="shared" si="8"/>
        <v>4690711.4773554932</v>
      </c>
      <c r="Z12" s="178">
        <f t="shared" si="9"/>
        <v>2345355.7386777466</v>
      </c>
      <c r="AA12" s="173">
        <f>+pronostico!I11*2%</f>
        <v>2094.0676238194164</v>
      </c>
      <c r="AB12" s="179">
        <f t="shared" si="10"/>
        <v>4690711.4773554932</v>
      </c>
      <c r="AC12" s="180">
        <f t="shared" si="11"/>
        <v>2345355.7386777466</v>
      </c>
      <c r="AD12" s="173">
        <f>+pronostico!I11*10%</f>
        <v>10470.338119097083</v>
      </c>
      <c r="AE12" s="176">
        <f t="shared" si="18"/>
        <v>23453557.386777468</v>
      </c>
      <c r="AF12" s="177">
        <f t="shared" si="18"/>
        <v>11726778.693388734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+pronostico!I12*50%</f>
        <v>42814.617927193183</v>
      </c>
      <c r="G13" s="137">
        <f t="shared" si="13"/>
        <v>98473621.232544318</v>
      </c>
      <c r="H13" s="138">
        <f t="shared" si="13"/>
        <v>49236810.616272159</v>
      </c>
      <c r="I13" s="137">
        <f t="shared" si="14"/>
        <v>21407.308963596592</v>
      </c>
      <c r="J13" s="139">
        <f t="shared" si="15"/>
        <v>12844.385378157955</v>
      </c>
      <c r="K13" s="167">
        <f t="shared" si="0"/>
        <v>4281.4617927193185</v>
      </c>
      <c r="L13" s="168">
        <f t="shared" si="1"/>
        <v>4281.4617927193185</v>
      </c>
      <c r="M13" s="169">
        <f>+pronostico!I12*20%</f>
        <v>17125.847170877274</v>
      </c>
      <c r="N13" s="170">
        <f t="shared" si="2"/>
        <v>39389448.493017733</v>
      </c>
      <c r="O13" s="171">
        <f t="shared" si="3"/>
        <v>19694724.246508867</v>
      </c>
      <c r="P13" s="170">
        <f t="shared" si="16"/>
        <v>8562.923585438637</v>
      </c>
      <c r="Q13" s="172">
        <f t="shared" si="17"/>
        <v>8562.923585438637</v>
      </c>
      <c r="R13" s="173">
        <f>+pronostico!I12*8%</f>
        <v>6850.3388683509093</v>
      </c>
      <c r="S13" s="174">
        <f t="shared" si="4"/>
        <v>15755779.397207091</v>
      </c>
      <c r="T13" s="175">
        <f t="shared" si="5"/>
        <v>7877889.6986035453</v>
      </c>
      <c r="U13" s="173">
        <f>+pronostico!I12*8%</f>
        <v>6850.3388683509093</v>
      </c>
      <c r="V13" s="176">
        <f t="shared" si="6"/>
        <v>15755779.397207091</v>
      </c>
      <c r="W13" s="177">
        <f t="shared" si="7"/>
        <v>7877889.6986035453</v>
      </c>
      <c r="X13" s="173">
        <f>+pronostico!I12*2%</f>
        <v>1712.5847170877273</v>
      </c>
      <c r="Y13" s="178">
        <f t="shared" si="8"/>
        <v>3938944.8493017727</v>
      </c>
      <c r="Z13" s="178">
        <f t="shared" si="9"/>
        <v>1969472.4246508863</v>
      </c>
      <c r="AA13" s="173">
        <f>+pronostico!I12*2%</f>
        <v>1712.5847170877273</v>
      </c>
      <c r="AB13" s="179">
        <f t="shared" si="10"/>
        <v>3938944.8493017727</v>
      </c>
      <c r="AC13" s="180">
        <f t="shared" si="11"/>
        <v>1969472.4246508863</v>
      </c>
      <c r="AD13" s="173">
        <f>+pronostico!I12*10%</f>
        <v>8562.923585438637</v>
      </c>
      <c r="AE13" s="176">
        <f t="shared" si="18"/>
        <v>19694724.246508867</v>
      </c>
      <c r="AF13" s="177">
        <f t="shared" si="18"/>
        <v>9847362.1232544333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+pronostico!I13*50%</f>
        <v>27633.073778826121</v>
      </c>
      <c r="G14" s="137">
        <f t="shared" si="13"/>
        <v>34817672.961320914</v>
      </c>
      <c r="H14" s="138">
        <f t="shared" si="13"/>
        <v>17408836.480660457</v>
      </c>
      <c r="I14" s="137">
        <f t="shared" si="14"/>
        <v>13816.536889413061</v>
      </c>
      <c r="J14" s="139">
        <f t="shared" si="15"/>
        <v>8289.9221336478367</v>
      </c>
      <c r="K14" s="167">
        <f t="shared" si="0"/>
        <v>2763.3073778826124</v>
      </c>
      <c r="L14" s="168">
        <f t="shared" si="1"/>
        <v>2763.3073778826124</v>
      </c>
      <c r="M14" s="169">
        <f>+pronostico!I13*20%</f>
        <v>11053.22951153045</v>
      </c>
      <c r="N14" s="170">
        <f t="shared" si="2"/>
        <v>13927069.184528366</v>
      </c>
      <c r="O14" s="171">
        <f t="shared" si="3"/>
        <v>6963534.5922641829</v>
      </c>
      <c r="P14" s="170">
        <f t="shared" si="16"/>
        <v>5526.6147557652248</v>
      </c>
      <c r="Q14" s="172">
        <f t="shared" si="17"/>
        <v>5526.6147557652248</v>
      </c>
      <c r="R14" s="173">
        <f>+pronostico!I13*8%</f>
        <v>4421.2918046121795</v>
      </c>
      <c r="S14" s="174">
        <f t="shared" si="4"/>
        <v>5570827.6738113463</v>
      </c>
      <c r="T14" s="175">
        <f t="shared" si="5"/>
        <v>2785413.8369056731</v>
      </c>
      <c r="U14" s="173">
        <f>+pronostico!I13*8%</f>
        <v>4421.2918046121795</v>
      </c>
      <c r="V14" s="176">
        <f t="shared" si="6"/>
        <v>5570827.6738113463</v>
      </c>
      <c r="W14" s="177">
        <f t="shared" si="7"/>
        <v>2785413.8369056731</v>
      </c>
      <c r="X14" s="173">
        <f>+pronostico!I13*2%</f>
        <v>1105.3229511530449</v>
      </c>
      <c r="Y14" s="178">
        <f t="shared" si="8"/>
        <v>1392706.9184528366</v>
      </c>
      <c r="Z14" s="178">
        <f t="shared" si="9"/>
        <v>696353.45922641829</v>
      </c>
      <c r="AA14" s="173">
        <f>+pronostico!I13*2%</f>
        <v>1105.3229511530449</v>
      </c>
      <c r="AB14" s="179">
        <f t="shared" si="10"/>
        <v>1392706.9184528366</v>
      </c>
      <c r="AC14" s="180">
        <f t="shared" si="11"/>
        <v>696353.45922641829</v>
      </c>
      <c r="AD14" s="173">
        <f>+pronostico!I13*10%</f>
        <v>5526.6147557652248</v>
      </c>
      <c r="AE14" s="176">
        <f t="shared" si="18"/>
        <v>6963534.5922641829</v>
      </c>
      <c r="AF14" s="177">
        <f t="shared" si="18"/>
        <v>3481767.2961320914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+pronostico!I14*50%</f>
        <v>21680.310415387416</v>
      </c>
      <c r="G15" s="137">
        <f t="shared" si="13"/>
        <v>27317191.123388145</v>
      </c>
      <c r="H15" s="138">
        <f t="shared" si="13"/>
        <v>13658595.561694073</v>
      </c>
      <c r="I15" s="137">
        <f t="shared" si="14"/>
        <v>10840.155207693708</v>
      </c>
      <c r="J15" s="139">
        <f t="shared" si="15"/>
        <v>6504.0931246162245</v>
      </c>
      <c r="K15" s="167">
        <f t="shared" si="0"/>
        <v>2168.0310415387416</v>
      </c>
      <c r="L15" s="168">
        <f t="shared" si="1"/>
        <v>2168.0310415387416</v>
      </c>
      <c r="M15" s="169">
        <f>+pronostico!I14*20%</f>
        <v>8672.1241661549666</v>
      </c>
      <c r="N15" s="170">
        <f t="shared" si="2"/>
        <v>10926876.449355258</v>
      </c>
      <c r="O15" s="171">
        <f t="shared" si="3"/>
        <v>5463438.2246776288</v>
      </c>
      <c r="P15" s="170">
        <f t="shared" si="16"/>
        <v>4336.0620830774833</v>
      </c>
      <c r="Q15" s="172">
        <f t="shared" si="17"/>
        <v>4336.0620830774833</v>
      </c>
      <c r="R15" s="173">
        <f>+pronostico!I14*8%</f>
        <v>3468.8496664619865</v>
      </c>
      <c r="S15" s="174">
        <f t="shared" si="4"/>
        <v>4370750.5797421029</v>
      </c>
      <c r="T15" s="175">
        <f t="shared" si="5"/>
        <v>2185375.2898710514</v>
      </c>
      <c r="U15" s="173">
        <f>+pronostico!I14*8%</f>
        <v>3468.8496664619865</v>
      </c>
      <c r="V15" s="176">
        <f t="shared" si="6"/>
        <v>4370750.5797421029</v>
      </c>
      <c r="W15" s="177">
        <f t="shared" si="7"/>
        <v>2185375.2898710514</v>
      </c>
      <c r="X15" s="173">
        <f>+pronostico!I14*2%</f>
        <v>867.21241661549664</v>
      </c>
      <c r="Y15" s="178">
        <f t="shared" si="8"/>
        <v>1092687.6449355257</v>
      </c>
      <c r="Z15" s="178">
        <f t="shared" si="9"/>
        <v>546343.82246776286</v>
      </c>
      <c r="AA15" s="173">
        <f>+pronostico!I14*2%</f>
        <v>867.21241661549664</v>
      </c>
      <c r="AB15" s="179">
        <f t="shared" si="10"/>
        <v>1092687.6449355257</v>
      </c>
      <c r="AC15" s="180">
        <f t="shared" si="11"/>
        <v>546343.82246776286</v>
      </c>
      <c r="AD15" s="173">
        <f>+pronostico!I14*10%</f>
        <v>4336.0620830774833</v>
      </c>
      <c r="AE15" s="176">
        <f t="shared" si="18"/>
        <v>5463438.2246776288</v>
      </c>
      <c r="AF15" s="177">
        <f t="shared" si="18"/>
        <v>2731719.1123388144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+pronostico!I15*50%</f>
        <v>31694.802695713806</v>
      </c>
      <c r="G16" s="137">
        <f t="shared" si="13"/>
        <v>85892915.305384412</v>
      </c>
      <c r="H16" s="138">
        <f t="shared" si="13"/>
        <v>42946457.652692206</v>
      </c>
      <c r="I16" s="137">
        <f t="shared" si="14"/>
        <v>15847.401347856903</v>
      </c>
      <c r="J16" s="139">
        <f t="shared" si="15"/>
        <v>9508.4408087141419</v>
      </c>
      <c r="K16" s="167">
        <f t="shared" si="0"/>
        <v>3169.4802695713806</v>
      </c>
      <c r="L16" s="168">
        <f t="shared" si="1"/>
        <v>3169.4802695713806</v>
      </c>
      <c r="M16" s="169">
        <f>+pronostico!I15*20%</f>
        <v>12677.921078285523</v>
      </c>
      <c r="N16" s="170">
        <f t="shared" si="2"/>
        <v>34357166.122153766</v>
      </c>
      <c r="O16" s="171">
        <f t="shared" si="3"/>
        <v>17178583.061076883</v>
      </c>
      <c r="P16" s="170">
        <f t="shared" si="16"/>
        <v>6338.9605391427613</v>
      </c>
      <c r="Q16" s="172">
        <f t="shared" si="17"/>
        <v>6338.9605391427613</v>
      </c>
      <c r="R16" s="173">
        <f>+pronostico!I15*8%</f>
        <v>5071.1684313142096</v>
      </c>
      <c r="S16" s="174">
        <f t="shared" si="4"/>
        <v>13742866.448861508</v>
      </c>
      <c r="T16" s="175">
        <f t="shared" si="5"/>
        <v>6871433.2244307538</v>
      </c>
      <c r="U16" s="173">
        <f>+pronostico!I15*8%</f>
        <v>5071.1684313142096</v>
      </c>
      <c r="V16" s="176">
        <f t="shared" si="6"/>
        <v>13742866.448861508</v>
      </c>
      <c r="W16" s="177">
        <f t="shared" si="7"/>
        <v>6871433.2244307538</v>
      </c>
      <c r="X16" s="173">
        <f>+pronostico!I15*2%</f>
        <v>1267.7921078285524</v>
      </c>
      <c r="Y16" s="178">
        <f t="shared" si="8"/>
        <v>3435716.6122153769</v>
      </c>
      <c r="Z16" s="178">
        <f t="shared" si="9"/>
        <v>1717858.3061076885</v>
      </c>
      <c r="AA16" s="173">
        <f>+pronostico!I15*2%</f>
        <v>1267.7921078285524</v>
      </c>
      <c r="AB16" s="179">
        <f t="shared" si="10"/>
        <v>3435716.6122153769</v>
      </c>
      <c r="AC16" s="180">
        <f t="shared" si="11"/>
        <v>1717858.3061076885</v>
      </c>
      <c r="AD16" s="173">
        <f>+pronostico!I15*10%</f>
        <v>6338.9605391427613</v>
      </c>
      <c r="AE16" s="176">
        <f t="shared" si="18"/>
        <v>17178583.061076883</v>
      </c>
      <c r="AF16" s="177">
        <f t="shared" si="18"/>
        <v>8589291.5305384416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+pronostico!I16*50%</f>
        <v>31228.702656070935</v>
      </c>
      <c r="G17" s="137">
        <f t="shared" si="13"/>
        <v>46218479.930984981</v>
      </c>
      <c r="H17" s="138">
        <f t="shared" si="13"/>
        <v>23109239.965492491</v>
      </c>
      <c r="I17" s="137">
        <f t="shared" si="14"/>
        <v>15614.351328035467</v>
      </c>
      <c r="J17" s="139">
        <f t="shared" si="15"/>
        <v>9368.61079682128</v>
      </c>
      <c r="K17" s="167">
        <f t="shared" si="0"/>
        <v>3122.8702656070936</v>
      </c>
      <c r="L17" s="168">
        <f t="shared" si="1"/>
        <v>3122.8702656070936</v>
      </c>
      <c r="M17" s="169">
        <f>+pronostico!I16*20%</f>
        <v>12491.481062428375</v>
      </c>
      <c r="N17" s="170">
        <f t="shared" si="2"/>
        <v>18487391.972393993</v>
      </c>
      <c r="O17" s="171">
        <f t="shared" si="3"/>
        <v>9243695.9861969966</v>
      </c>
      <c r="P17" s="170">
        <f t="shared" si="16"/>
        <v>6245.7405312141873</v>
      </c>
      <c r="Q17" s="172">
        <f t="shared" si="17"/>
        <v>6245.7405312141873</v>
      </c>
      <c r="R17" s="173">
        <f>+pronostico!I16*8%</f>
        <v>4996.5924249713498</v>
      </c>
      <c r="S17" s="174">
        <f t="shared" si="4"/>
        <v>7394956.7889575977</v>
      </c>
      <c r="T17" s="175">
        <f t="shared" si="5"/>
        <v>3697478.3944787988</v>
      </c>
      <c r="U17" s="173">
        <f>+pronostico!I16*8%</f>
        <v>4996.5924249713498</v>
      </c>
      <c r="V17" s="176">
        <f t="shared" si="6"/>
        <v>7394956.7889575977</v>
      </c>
      <c r="W17" s="177">
        <f t="shared" si="7"/>
        <v>3697478.3944787988</v>
      </c>
      <c r="X17" s="173">
        <f>+pronostico!I16*2%</f>
        <v>1249.1481062428375</v>
      </c>
      <c r="Y17" s="178">
        <f t="shared" si="8"/>
        <v>1848739.1972393994</v>
      </c>
      <c r="Z17" s="178">
        <f t="shared" si="9"/>
        <v>924369.59861969971</v>
      </c>
      <c r="AA17" s="173">
        <f>+pronostico!I16*2%</f>
        <v>1249.1481062428375</v>
      </c>
      <c r="AB17" s="179">
        <f t="shared" si="10"/>
        <v>1848739.1972393994</v>
      </c>
      <c r="AC17" s="180">
        <f t="shared" si="11"/>
        <v>924369.59861969971</v>
      </c>
      <c r="AD17" s="173">
        <f>+pronostico!I16*10%</f>
        <v>6245.7405312141873</v>
      </c>
      <c r="AE17" s="176">
        <f t="shared" si="18"/>
        <v>9243695.9861969966</v>
      </c>
      <c r="AF17" s="177">
        <f t="shared" si="18"/>
        <v>4621847.9930984983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+pronostico!I17*50%</f>
        <v>92613.832460000005</v>
      </c>
      <c r="G18" s="137">
        <f t="shared" si="13"/>
        <v>218568644.6056</v>
      </c>
      <c r="H18" s="138">
        <f t="shared" si="13"/>
        <v>109284322.3028</v>
      </c>
      <c r="I18" s="137">
        <f t="shared" si="14"/>
        <v>46306.916230000003</v>
      </c>
      <c r="J18" s="139">
        <f t="shared" si="15"/>
        <v>27784.149738</v>
      </c>
      <c r="K18" s="167">
        <f t="shared" si="0"/>
        <v>9261.3832460000012</v>
      </c>
      <c r="L18" s="168">
        <f t="shared" si="1"/>
        <v>9261.3832460000012</v>
      </c>
      <c r="M18" s="169">
        <f>+pronostico!I17*20%</f>
        <v>37045.532984000005</v>
      </c>
      <c r="N18" s="170">
        <f t="shared" si="2"/>
        <v>87427457.842240006</v>
      </c>
      <c r="O18" s="171">
        <f t="shared" si="3"/>
        <v>43713728.921120003</v>
      </c>
      <c r="P18" s="170">
        <f t="shared" si="16"/>
        <v>18522.766492000002</v>
      </c>
      <c r="Q18" s="172">
        <f t="shared" si="17"/>
        <v>18522.766492000002</v>
      </c>
      <c r="R18" s="173">
        <f>+pronostico!I17*8%</f>
        <v>14818.213193600001</v>
      </c>
      <c r="S18" s="174">
        <f t="shared" si="4"/>
        <v>34970983.136895999</v>
      </c>
      <c r="T18" s="175">
        <f t="shared" si="5"/>
        <v>17485491.568448</v>
      </c>
      <c r="U18" s="173">
        <f>+pronostico!I17*8%</f>
        <v>14818.213193600001</v>
      </c>
      <c r="V18" s="176">
        <f t="shared" si="6"/>
        <v>34970983.136895999</v>
      </c>
      <c r="W18" s="177">
        <f t="shared" si="7"/>
        <v>17485491.568448</v>
      </c>
      <c r="X18" s="173">
        <f>+pronostico!I17*2%</f>
        <v>3704.5532984000001</v>
      </c>
      <c r="Y18" s="178">
        <f t="shared" si="8"/>
        <v>8742745.7842239998</v>
      </c>
      <c r="Z18" s="178">
        <f t="shared" si="9"/>
        <v>4371372.8921119999</v>
      </c>
      <c r="AA18" s="173">
        <f>+pronostico!I17*2%</f>
        <v>3704.5532984000001</v>
      </c>
      <c r="AB18" s="179">
        <f t="shared" si="10"/>
        <v>8742745.7842239998</v>
      </c>
      <c r="AC18" s="180">
        <f t="shared" si="11"/>
        <v>4371372.8921119999</v>
      </c>
      <c r="AD18" s="173">
        <f>+pronostico!I17*10%</f>
        <v>18522.766492000002</v>
      </c>
      <c r="AE18" s="176">
        <f t="shared" si="18"/>
        <v>43713728.921120003</v>
      </c>
      <c r="AF18" s="177">
        <f t="shared" si="18"/>
        <v>21856864.460560001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+pronostico!I18*50%</f>
        <v>21623.387460000002</v>
      </c>
      <c r="G19" s="137">
        <f t="shared" si="13"/>
        <v>108116937.30000001</v>
      </c>
      <c r="H19" s="138">
        <f t="shared" si="13"/>
        <v>43246774.920000009</v>
      </c>
      <c r="I19" s="137">
        <f>+F19*60%</f>
        <v>12974.032476</v>
      </c>
      <c r="J19" s="139">
        <f t="shared" si="15"/>
        <v>6487.0162380000002</v>
      </c>
      <c r="K19" s="167">
        <f t="shared" si="0"/>
        <v>2162.3387460000004</v>
      </c>
      <c r="L19" s="168" t="s">
        <v>21</v>
      </c>
      <c r="M19" s="169">
        <f>+pronostico!I18*20%</f>
        <v>8649.3549840000014</v>
      </c>
      <c r="N19" s="170">
        <f t="shared" si="2"/>
        <v>43246774.920000009</v>
      </c>
      <c r="O19" s="171">
        <f t="shared" si="3"/>
        <v>17298709.968000006</v>
      </c>
      <c r="P19" s="170">
        <f t="shared" si="16"/>
        <v>4324.6774920000007</v>
      </c>
      <c r="Q19" s="172">
        <f t="shared" si="17"/>
        <v>4324.6774920000007</v>
      </c>
      <c r="R19" s="173">
        <f>+pronostico!I18*8%</f>
        <v>3459.7419936000006</v>
      </c>
      <c r="S19" s="174">
        <f t="shared" si="4"/>
        <v>17298709.968000002</v>
      </c>
      <c r="T19" s="175">
        <f t="shared" si="5"/>
        <v>6919483.9872000013</v>
      </c>
      <c r="U19" s="173">
        <f>+pronostico!I18*8%</f>
        <v>3459.7419936000006</v>
      </c>
      <c r="V19" s="176">
        <f t="shared" si="6"/>
        <v>17298709.968000002</v>
      </c>
      <c r="W19" s="177">
        <f t="shared" si="7"/>
        <v>6919483.9872000013</v>
      </c>
      <c r="X19" s="173">
        <f>+pronostico!I18*2%</f>
        <v>864.93549840000014</v>
      </c>
      <c r="Y19" s="178">
        <f t="shared" si="8"/>
        <v>4324677.4920000006</v>
      </c>
      <c r="Z19" s="178">
        <f t="shared" si="9"/>
        <v>1729870.9968000003</v>
      </c>
      <c r="AA19" s="173">
        <f>+pronostico!I18*2%</f>
        <v>864.93549840000014</v>
      </c>
      <c r="AB19" s="179">
        <f t="shared" si="10"/>
        <v>4324677.4920000006</v>
      </c>
      <c r="AC19" s="180">
        <f t="shared" si="11"/>
        <v>1729870.9968000003</v>
      </c>
      <c r="AD19" s="173">
        <f>+pronostico!I18*10%</f>
        <v>4324.6774920000007</v>
      </c>
      <c r="AE19" s="176">
        <f t="shared" si="18"/>
        <v>21623387.460000005</v>
      </c>
      <c r="AF19" s="177">
        <f t="shared" si="18"/>
        <v>8649354.984000003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+pronostico!I19*50%</f>
        <v>15587.689200000001</v>
      </c>
      <c r="G20" s="137">
        <f t="shared" si="13"/>
        <v>55959804.228</v>
      </c>
      <c r="H20" s="138">
        <f t="shared" si="13"/>
        <v>22383921.691200003</v>
      </c>
      <c r="I20" s="137">
        <f t="shared" si="14"/>
        <v>7793.8446000000004</v>
      </c>
      <c r="J20" s="139">
        <f t="shared" si="15"/>
        <v>4676.3067600000004</v>
      </c>
      <c r="K20" s="167">
        <f t="shared" si="0"/>
        <v>1558.7689200000002</v>
      </c>
      <c r="L20" s="168">
        <f>+F20*10%</f>
        <v>1558.7689200000002</v>
      </c>
      <c r="M20" s="169">
        <f>+pronostico!I19*20%</f>
        <v>6235.0756800000008</v>
      </c>
      <c r="N20" s="170">
        <f t="shared" si="2"/>
        <v>22383921.691200003</v>
      </c>
      <c r="O20" s="171">
        <f t="shared" si="3"/>
        <v>8953568.6764800008</v>
      </c>
      <c r="P20" s="170">
        <f t="shared" si="16"/>
        <v>3117.5378400000004</v>
      </c>
      <c r="Q20" s="172">
        <f t="shared" si="17"/>
        <v>3117.5378400000004</v>
      </c>
      <c r="R20" s="173">
        <f>+pronostico!I19*8%</f>
        <v>2494.030272</v>
      </c>
      <c r="S20" s="174">
        <f t="shared" si="4"/>
        <v>8953568.676479999</v>
      </c>
      <c r="T20" s="175">
        <f t="shared" si="5"/>
        <v>3581427.4705919996</v>
      </c>
      <c r="U20" s="173">
        <f>+pronostico!I19*8%</f>
        <v>2494.030272</v>
      </c>
      <c r="V20" s="176">
        <f t="shared" si="6"/>
        <v>8953568.676479999</v>
      </c>
      <c r="W20" s="177">
        <f t="shared" si="7"/>
        <v>3581427.4705919996</v>
      </c>
      <c r="X20" s="173">
        <f>+pronostico!I19*2%</f>
        <v>623.50756799999999</v>
      </c>
      <c r="Y20" s="178">
        <f t="shared" si="8"/>
        <v>2238392.1691199997</v>
      </c>
      <c r="Z20" s="178">
        <f t="shared" si="9"/>
        <v>895356.8676479999</v>
      </c>
      <c r="AA20" s="173">
        <f>+pronostico!I19*2%</f>
        <v>623.50756799999999</v>
      </c>
      <c r="AB20" s="179">
        <f t="shared" si="10"/>
        <v>2238392.1691199997</v>
      </c>
      <c r="AC20" s="180">
        <f t="shared" si="11"/>
        <v>895356.8676479999</v>
      </c>
      <c r="AD20" s="173">
        <f>+pronostico!I19*10%</f>
        <v>3117.5378400000004</v>
      </c>
      <c r="AE20" s="176">
        <f t="shared" si="18"/>
        <v>11191960.845600002</v>
      </c>
      <c r="AF20" s="177">
        <f t="shared" si="18"/>
        <v>4476784.3382400004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+pronostico!I20*50%</f>
        <v>14862.680400000001</v>
      </c>
      <c r="G21" s="137">
        <f t="shared" si="13"/>
        <v>183256849.33200002</v>
      </c>
      <c r="H21" s="138">
        <f t="shared" si="13"/>
        <v>73302739.732800007</v>
      </c>
      <c r="I21" s="137">
        <f>+F21*60%</f>
        <v>8917.6082399999996</v>
      </c>
      <c r="J21" s="139">
        <f t="shared" si="15"/>
        <v>4458.8041199999998</v>
      </c>
      <c r="K21" s="167">
        <f t="shared" si="0"/>
        <v>1486.2680400000002</v>
      </c>
      <c r="L21" s="168" t="s">
        <v>21</v>
      </c>
      <c r="M21" s="169">
        <f>+pronostico!I20*20%</f>
        <v>5945.0721600000006</v>
      </c>
      <c r="N21" s="170">
        <f t="shared" si="2"/>
        <v>73302739.732800007</v>
      </c>
      <c r="O21" s="171">
        <f t="shared" si="3"/>
        <v>29321095.893120006</v>
      </c>
      <c r="P21" s="170">
        <f t="shared" si="16"/>
        <v>2972.5360800000003</v>
      </c>
      <c r="Q21" s="172">
        <f t="shared" si="17"/>
        <v>2972.5360800000003</v>
      </c>
      <c r="R21" s="173">
        <f>+pronostico!I20*8%</f>
        <v>2378.0288640000003</v>
      </c>
      <c r="S21" s="174">
        <f t="shared" si="4"/>
        <v>29321095.893120006</v>
      </c>
      <c r="T21" s="175">
        <f t="shared" si="5"/>
        <v>11728438.357248003</v>
      </c>
      <c r="U21" s="173">
        <f>+pronostico!I20*8%</f>
        <v>2378.0288640000003</v>
      </c>
      <c r="V21" s="176">
        <f t="shared" si="6"/>
        <v>29321095.893120006</v>
      </c>
      <c r="W21" s="177">
        <f t="shared" si="7"/>
        <v>11728438.357248003</v>
      </c>
      <c r="X21" s="173">
        <f>+pronostico!I20*2%</f>
        <v>594.50721600000008</v>
      </c>
      <c r="Y21" s="178">
        <f t="shared" si="8"/>
        <v>7330273.9732800014</v>
      </c>
      <c r="Z21" s="178">
        <f t="shared" si="9"/>
        <v>2932109.5893120007</v>
      </c>
      <c r="AA21" s="173">
        <f>+pronostico!I20*2%</f>
        <v>594.50721600000008</v>
      </c>
      <c r="AB21" s="179">
        <f t="shared" si="10"/>
        <v>7330273.9732800014</v>
      </c>
      <c r="AC21" s="180">
        <f t="shared" si="11"/>
        <v>2932109.5893120007</v>
      </c>
      <c r="AD21" s="173">
        <f>+pronostico!I20*10%</f>
        <v>2972.5360800000003</v>
      </c>
      <c r="AE21" s="176">
        <f t="shared" ref="AE21:AF36" si="20">+AD21*D21</f>
        <v>36651369.866400003</v>
      </c>
      <c r="AF21" s="177">
        <f t="shared" si="20"/>
        <v>14660547.946560003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+pronostico!I21*50%</f>
        <v>13032.03318</v>
      </c>
      <c r="G22" s="137">
        <f t="shared" si="13"/>
        <v>97479608.186399996</v>
      </c>
      <c r="H22" s="138">
        <f t="shared" si="13"/>
        <v>38991843.274559997</v>
      </c>
      <c r="I22" s="137">
        <f t="shared" ref="I22:I51" si="21">+F22*60%</f>
        <v>7819.219908</v>
      </c>
      <c r="J22" s="139">
        <f t="shared" si="15"/>
        <v>3909.609954</v>
      </c>
      <c r="K22" s="167">
        <f t="shared" si="0"/>
        <v>1303.2033180000001</v>
      </c>
      <c r="L22" s="168" t="s">
        <v>21</v>
      </c>
      <c r="M22" s="169">
        <f>+pronostico!I21*20%</f>
        <v>5212.8132720000003</v>
      </c>
      <c r="N22" s="170">
        <f t="shared" si="2"/>
        <v>38991843.274560004</v>
      </c>
      <c r="O22" s="171">
        <f t="shared" si="3"/>
        <v>15596737.309824003</v>
      </c>
      <c r="P22" s="170">
        <f t="shared" si="16"/>
        <v>2606.4066360000002</v>
      </c>
      <c r="Q22" s="172">
        <f t="shared" si="17"/>
        <v>2606.4066360000002</v>
      </c>
      <c r="R22" s="173">
        <f>+pronostico!I21*8%</f>
        <v>2085.1253088000003</v>
      </c>
      <c r="S22" s="174">
        <f t="shared" si="4"/>
        <v>15596737.309824003</v>
      </c>
      <c r="T22" s="175">
        <f t="shared" si="5"/>
        <v>6238694.9239296019</v>
      </c>
      <c r="U22" s="173">
        <f>+pronostico!I21*8%</f>
        <v>2085.1253088000003</v>
      </c>
      <c r="V22" s="176">
        <f t="shared" si="6"/>
        <v>15596737.309824003</v>
      </c>
      <c r="W22" s="177">
        <f t="shared" si="7"/>
        <v>6238694.9239296019</v>
      </c>
      <c r="X22" s="173">
        <f>+pronostico!I21*2%</f>
        <v>521.28132720000008</v>
      </c>
      <c r="Y22" s="178">
        <f t="shared" si="8"/>
        <v>3899184.3274560007</v>
      </c>
      <c r="Z22" s="178">
        <f t="shared" si="9"/>
        <v>1559673.7309824005</v>
      </c>
      <c r="AA22" s="173">
        <f>+pronostico!I21*2%</f>
        <v>521.28132720000008</v>
      </c>
      <c r="AB22" s="179">
        <f t="shared" si="10"/>
        <v>3899184.3274560007</v>
      </c>
      <c r="AC22" s="180">
        <f t="shared" si="11"/>
        <v>1559673.7309824005</v>
      </c>
      <c r="AD22" s="173">
        <f>+pronostico!I21*10%</f>
        <v>2606.4066360000002</v>
      </c>
      <c r="AE22" s="176">
        <f t="shared" si="20"/>
        <v>19495921.637280002</v>
      </c>
      <c r="AF22" s="177">
        <f t="shared" si="20"/>
        <v>7798368.6549120015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+pronostico!I22*50%</f>
        <v>8820.9403999999995</v>
      </c>
      <c r="G23" s="137">
        <f t="shared" si="13"/>
        <v>36165855.640000001</v>
      </c>
      <c r="H23" s="138">
        <f t="shared" si="13"/>
        <v>14466342.256000001</v>
      </c>
      <c r="I23" s="137">
        <f t="shared" si="21"/>
        <v>5292.5642399999997</v>
      </c>
      <c r="J23" s="139">
        <f t="shared" si="15"/>
        <v>2646.2821199999998</v>
      </c>
      <c r="K23" s="167">
        <f t="shared" si="0"/>
        <v>882.09403999999995</v>
      </c>
      <c r="L23" s="168" t="s">
        <v>21</v>
      </c>
      <c r="M23" s="169">
        <f>+pronostico!I22*20%</f>
        <v>3528.3761599999998</v>
      </c>
      <c r="N23" s="170">
        <f t="shared" si="2"/>
        <v>14466342.255999999</v>
      </c>
      <c r="O23" s="171">
        <f t="shared" si="3"/>
        <v>5786536.9024</v>
      </c>
      <c r="P23" s="170">
        <f t="shared" si="16"/>
        <v>1764.1880799999999</v>
      </c>
      <c r="Q23" s="172">
        <f t="shared" si="17"/>
        <v>1764.1880799999999</v>
      </c>
      <c r="R23" s="173">
        <f>+pronostico!I22*8%</f>
        <v>1411.3504639999999</v>
      </c>
      <c r="S23" s="174">
        <f t="shared" si="4"/>
        <v>5786536.9023999991</v>
      </c>
      <c r="T23" s="175">
        <f t="shared" si="5"/>
        <v>2314614.7609599996</v>
      </c>
      <c r="U23" s="173">
        <f>+pronostico!I22*8%</f>
        <v>1411.3504639999999</v>
      </c>
      <c r="V23" s="176">
        <f t="shared" si="6"/>
        <v>5786536.9023999991</v>
      </c>
      <c r="W23" s="177">
        <f t="shared" si="7"/>
        <v>2314614.7609599996</v>
      </c>
      <c r="X23" s="173">
        <f>+pronostico!I22*2%</f>
        <v>352.83761599999997</v>
      </c>
      <c r="Y23" s="178">
        <f t="shared" si="8"/>
        <v>1446634.2255999998</v>
      </c>
      <c r="Z23" s="178">
        <f t="shared" si="9"/>
        <v>578653.69023999991</v>
      </c>
      <c r="AA23" s="173">
        <f>+pronostico!I22*2%</f>
        <v>352.83761599999997</v>
      </c>
      <c r="AB23" s="179">
        <f t="shared" si="10"/>
        <v>1446634.2255999998</v>
      </c>
      <c r="AC23" s="180">
        <f t="shared" si="11"/>
        <v>578653.69023999991</v>
      </c>
      <c r="AD23" s="173">
        <f>+pronostico!I22*10%</f>
        <v>1764.1880799999999</v>
      </c>
      <c r="AE23" s="176">
        <f t="shared" si="20"/>
        <v>7233171.1279999996</v>
      </c>
      <c r="AF23" s="177">
        <f t="shared" si="20"/>
        <v>2893268.4512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+pronostico!I23*50%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+pronostico!I23*20%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+pronostico!I23*8%</f>
        <v>2000</v>
      </c>
      <c r="S24" s="174">
        <f t="shared" si="4"/>
        <v>6600000</v>
      </c>
      <c r="T24" s="175">
        <f t="shared" si="5"/>
        <v>3300000</v>
      </c>
      <c r="U24" s="173">
        <f>+pronostico!I23*8%</f>
        <v>2000</v>
      </c>
      <c r="V24" s="176">
        <f t="shared" si="6"/>
        <v>6600000</v>
      </c>
      <c r="W24" s="177">
        <f t="shared" si="7"/>
        <v>3300000</v>
      </c>
      <c r="X24" s="173">
        <f>+pronostico!I23*2%</f>
        <v>500</v>
      </c>
      <c r="Y24" s="178">
        <f t="shared" si="8"/>
        <v>1650000</v>
      </c>
      <c r="Z24" s="178">
        <f t="shared" si="9"/>
        <v>825000</v>
      </c>
      <c r="AA24" s="173">
        <f>+pronostico!I23*2%</f>
        <v>500</v>
      </c>
      <c r="AB24" s="179">
        <f t="shared" si="10"/>
        <v>1650000</v>
      </c>
      <c r="AC24" s="180">
        <f t="shared" si="11"/>
        <v>825000</v>
      </c>
      <c r="AD24" s="173">
        <f>+pronostico!I23*10%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+pronostico!I24*50%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+pronostico!I24*20%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+pronostico!I24*8%</f>
        <v>2400</v>
      </c>
      <c r="S25" s="174">
        <f t="shared" si="4"/>
        <v>7200000</v>
      </c>
      <c r="T25" s="175">
        <f t="shared" si="5"/>
        <v>3600000</v>
      </c>
      <c r="U25" s="173">
        <f>+pronostico!I24*8%</f>
        <v>2400</v>
      </c>
      <c r="V25" s="176">
        <f t="shared" si="6"/>
        <v>7200000</v>
      </c>
      <c r="W25" s="177">
        <f t="shared" si="7"/>
        <v>3600000</v>
      </c>
      <c r="X25" s="173">
        <f>+pronostico!I24*2%</f>
        <v>600</v>
      </c>
      <c r="Y25" s="178">
        <f t="shared" si="8"/>
        <v>1800000</v>
      </c>
      <c r="Z25" s="178">
        <f t="shared" si="9"/>
        <v>900000</v>
      </c>
      <c r="AA25" s="173">
        <f>+pronostico!I24*2%</f>
        <v>600</v>
      </c>
      <c r="AB25" s="179">
        <f t="shared" si="10"/>
        <v>1800000</v>
      </c>
      <c r="AC25" s="180">
        <f t="shared" si="11"/>
        <v>900000</v>
      </c>
      <c r="AD25" s="173">
        <f>+pronostico!I24*10%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+pronostico!I25*50%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+pronostico!I25*20%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+pronostico!I25*8%</f>
        <v>3200</v>
      </c>
      <c r="S26" s="174">
        <f t="shared" si="4"/>
        <v>12160000</v>
      </c>
      <c r="T26" s="175">
        <f t="shared" si="5"/>
        <v>4864000</v>
      </c>
      <c r="U26" s="173">
        <f>+pronostico!I25*8%</f>
        <v>3200</v>
      </c>
      <c r="V26" s="176">
        <f t="shared" si="6"/>
        <v>12160000</v>
      </c>
      <c r="W26" s="177">
        <f t="shared" si="7"/>
        <v>4864000</v>
      </c>
      <c r="X26" s="173">
        <f>+pronostico!I25*2%</f>
        <v>800</v>
      </c>
      <c r="Y26" s="178">
        <f t="shared" si="8"/>
        <v>3040000</v>
      </c>
      <c r="Z26" s="178">
        <f t="shared" si="9"/>
        <v>1216000</v>
      </c>
      <c r="AA26" s="173">
        <f>+pronostico!I25*2%</f>
        <v>800</v>
      </c>
      <c r="AB26" s="179">
        <f t="shared" si="10"/>
        <v>3040000</v>
      </c>
      <c r="AC26" s="180">
        <f t="shared" si="11"/>
        <v>1216000</v>
      </c>
      <c r="AD26" s="173">
        <f>+pronostico!I25*10%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+pronostico!I26*50%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+pronostico!I26*20%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+pronostico!I26*8%</f>
        <v>4800</v>
      </c>
      <c r="S27" s="174">
        <f t="shared" si="4"/>
        <v>11040000</v>
      </c>
      <c r="T27" s="175">
        <f t="shared" si="5"/>
        <v>5520000</v>
      </c>
      <c r="U27" s="173">
        <f>+pronostico!I26*8%</f>
        <v>4800</v>
      </c>
      <c r="V27" s="176">
        <f t="shared" si="6"/>
        <v>11040000</v>
      </c>
      <c r="W27" s="177">
        <f t="shared" si="7"/>
        <v>5520000</v>
      </c>
      <c r="X27" s="173">
        <f>+pronostico!I26*2%</f>
        <v>1200</v>
      </c>
      <c r="Y27" s="178">
        <f t="shared" si="8"/>
        <v>2760000</v>
      </c>
      <c r="Z27" s="178">
        <f t="shared" si="9"/>
        <v>1380000</v>
      </c>
      <c r="AA27" s="173">
        <f>+pronostico!I26*2%</f>
        <v>1200</v>
      </c>
      <c r="AB27" s="179">
        <f t="shared" si="10"/>
        <v>2760000</v>
      </c>
      <c r="AC27" s="180">
        <f t="shared" si="11"/>
        <v>1380000</v>
      </c>
      <c r="AD27" s="173">
        <f>+pronostico!I26*10%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+pronostico!I27*50%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+pronostico!I27*20%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+pronostico!I27*8%</f>
        <v>2400</v>
      </c>
      <c r="S28" s="174">
        <f t="shared" si="4"/>
        <v>9360000</v>
      </c>
      <c r="T28" s="175">
        <f t="shared" si="5"/>
        <v>3744000</v>
      </c>
      <c r="U28" s="173">
        <f>+pronostico!I27*8%</f>
        <v>2400</v>
      </c>
      <c r="V28" s="176">
        <f t="shared" si="6"/>
        <v>9360000</v>
      </c>
      <c r="W28" s="177">
        <f t="shared" si="7"/>
        <v>3744000</v>
      </c>
      <c r="X28" s="173">
        <f>+pronostico!I27*2%</f>
        <v>600</v>
      </c>
      <c r="Y28" s="178">
        <f t="shared" si="8"/>
        <v>2340000</v>
      </c>
      <c r="Z28" s="178">
        <f t="shared" si="9"/>
        <v>936000</v>
      </c>
      <c r="AA28" s="173">
        <f>+pronostico!I27*2%</f>
        <v>600</v>
      </c>
      <c r="AB28" s="179">
        <f t="shared" si="10"/>
        <v>2340000</v>
      </c>
      <c r="AC28" s="180">
        <f t="shared" si="11"/>
        <v>936000</v>
      </c>
      <c r="AD28" s="173">
        <f>+pronostico!I27*10%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+pronostico!I28*50%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+pronostico!I28*20%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+pronostico!I28*8%</f>
        <v>5200</v>
      </c>
      <c r="S29" s="174">
        <f t="shared" si="4"/>
        <v>15600000</v>
      </c>
      <c r="T29" s="175">
        <f t="shared" si="5"/>
        <v>7800000</v>
      </c>
      <c r="U29" s="173">
        <f>+pronostico!I28*8%</f>
        <v>5200</v>
      </c>
      <c r="V29" s="176">
        <f t="shared" si="6"/>
        <v>15600000</v>
      </c>
      <c r="W29" s="177">
        <f t="shared" si="7"/>
        <v>7800000</v>
      </c>
      <c r="X29" s="173">
        <f>+pronostico!I28*2%</f>
        <v>1300</v>
      </c>
      <c r="Y29" s="178">
        <f t="shared" si="8"/>
        <v>3900000</v>
      </c>
      <c r="Z29" s="178">
        <f t="shared" si="9"/>
        <v>1950000</v>
      </c>
      <c r="AA29" s="173">
        <f>+pronostico!I28*2%</f>
        <v>1300</v>
      </c>
      <c r="AB29" s="179">
        <f t="shared" si="10"/>
        <v>3900000</v>
      </c>
      <c r="AC29" s="180">
        <f t="shared" si="11"/>
        <v>1950000</v>
      </c>
      <c r="AD29" s="173">
        <f>+pronostico!I28*10%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+pronostico!I29*50%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+pronostico!I29*20%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+pronostico!I29*8%</f>
        <v>2000</v>
      </c>
      <c r="S30" s="174">
        <f t="shared" si="4"/>
        <v>8200000</v>
      </c>
      <c r="T30" s="175">
        <f t="shared" si="5"/>
        <v>3280000</v>
      </c>
      <c r="U30" s="173">
        <f>+pronostico!I29*8%</f>
        <v>2000</v>
      </c>
      <c r="V30" s="176">
        <f t="shared" si="6"/>
        <v>8200000</v>
      </c>
      <c r="W30" s="177">
        <f t="shared" si="7"/>
        <v>3280000</v>
      </c>
      <c r="X30" s="173">
        <f>+pronostico!I29*2%</f>
        <v>500</v>
      </c>
      <c r="Y30" s="178">
        <f t="shared" si="8"/>
        <v>2050000</v>
      </c>
      <c r="Z30" s="178">
        <f t="shared" si="9"/>
        <v>820000</v>
      </c>
      <c r="AA30" s="173">
        <f>+pronostico!I29*2%</f>
        <v>500</v>
      </c>
      <c r="AB30" s="179">
        <f t="shared" si="10"/>
        <v>2050000</v>
      </c>
      <c r="AC30" s="180">
        <f t="shared" si="11"/>
        <v>820000</v>
      </c>
      <c r="AD30" s="173">
        <f>+pronostico!I29*10%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+pronostico!I30*50%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+pronostico!I30*20%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+pronostico!I30*8%</f>
        <v>2000</v>
      </c>
      <c r="S31" s="174">
        <f t="shared" si="4"/>
        <v>4700000</v>
      </c>
      <c r="T31" s="175">
        <f t="shared" si="5"/>
        <v>2350000</v>
      </c>
      <c r="U31" s="173">
        <f>+pronostico!I30*8%</f>
        <v>2000</v>
      </c>
      <c r="V31" s="176">
        <f t="shared" si="6"/>
        <v>4700000</v>
      </c>
      <c r="W31" s="177">
        <f t="shared" si="7"/>
        <v>2350000</v>
      </c>
      <c r="X31" s="173">
        <f>+pronostico!I30*2%</f>
        <v>500</v>
      </c>
      <c r="Y31" s="178">
        <f t="shared" si="8"/>
        <v>1175000</v>
      </c>
      <c r="Z31" s="178">
        <f t="shared" si="9"/>
        <v>587500</v>
      </c>
      <c r="AA31" s="173">
        <f>+pronostico!I30*2%</f>
        <v>500</v>
      </c>
      <c r="AB31" s="179">
        <f t="shared" si="10"/>
        <v>1175000</v>
      </c>
      <c r="AC31" s="180">
        <f t="shared" si="11"/>
        <v>587500</v>
      </c>
      <c r="AD31" s="173">
        <f>+pronostico!I30*10%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+pronostico!I31*50%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+pronostico!I31*20%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+pronostico!I31*8%</f>
        <v>1600</v>
      </c>
      <c r="S32" s="174">
        <f t="shared" si="4"/>
        <v>4800000</v>
      </c>
      <c r="T32" s="175">
        <f t="shared" si="5"/>
        <v>2400000</v>
      </c>
      <c r="U32" s="173">
        <f>+pronostico!I31*8%</f>
        <v>1600</v>
      </c>
      <c r="V32" s="176">
        <f t="shared" si="6"/>
        <v>4800000</v>
      </c>
      <c r="W32" s="177">
        <f t="shared" si="7"/>
        <v>2400000</v>
      </c>
      <c r="X32" s="173">
        <f>+pronostico!I31*2%</f>
        <v>400</v>
      </c>
      <c r="Y32" s="178">
        <f t="shared" si="8"/>
        <v>1200000</v>
      </c>
      <c r="Z32" s="178">
        <f t="shared" si="9"/>
        <v>600000</v>
      </c>
      <c r="AA32" s="173">
        <f>+pronostico!I31*2%</f>
        <v>400</v>
      </c>
      <c r="AB32" s="179">
        <f t="shared" si="10"/>
        <v>1200000</v>
      </c>
      <c r="AC32" s="180">
        <f t="shared" si="11"/>
        <v>600000</v>
      </c>
      <c r="AD32" s="173">
        <f>+pronostico!I31*10%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+pronostico!I32*50%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+pronostico!I32*20%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+pronostico!I32*8%</f>
        <v>1200</v>
      </c>
      <c r="S33" s="174">
        <f t="shared" si="4"/>
        <v>2760000</v>
      </c>
      <c r="T33" s="175">
        <f t="shared" si="5"/>
        <v>1380000</v>
      </c>
      <c r="U33" s="173">
        <f>+pronostico!I32*8%</f>
        <v>1200</v>
      </c>
      <c r="V33" s="176">
        <f t="shared" si="6"/>
        <v>2760000</v>
      </c>
      <c r="W33" s="177">
        <f t="shared" si="7"/>
        <v>1380000</v>
      </c>
      <c r="X33" s="173">
        <f>+pronostico!I32*2%</f>
        <v>300</v>
      </c>
      <c r="Y33" s="178">
        <f t="shared" si="8"/>
        <v>690000</v>
      </c>
      <c r="Z33" s="178">
        <f t="shared" si="9"/>
        <v>345000</v>
      </c>
      <c r="AA33" s="173">
        <f>+pronostico!I32*2%</f>
        <v>300</v>
      </c>
      <c r="AB33" s="179">
        <f t="shared" si="10"/>
        <v>690000</v>
      </c>
      <c r="AC33" s="180">
        <f t="shared" si="11"/>
        <v>345000</v>
      </c>
      <c r="AD33" s="173">
        <f>+pronostico!I32*10%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+pronostico!I33*50%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+pronostico!I33*20%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+pronostico!I33*8%</f>
        <v>1600</v>
      </c>
      <c r="S34" s="174">
        <f t="shared" si="4"/>
        <v>6080000</v>
      </c>
      <c r="T34" s="175">
        <f t="shared" si="5"/>
        <v>2432000</v>
      </c>
      <c r="U34" s="173">
        <f>+pronostico!I33*8%</f>
        <v>1600</v>
      </c>
      <c r="V34" s="176">
        <f t="shared" si="6"/>
        <v>6080000</v>
      </c>
      <c r="W34" s="177">
        <f t="shared" si="7"/>
        <v>2432000</v>
      </c>
      <c r="X34" s="173">
        <f>+pronostico!I33*2%</f>
        <v>400</v>
      </c>
      <c r="Y34" s="178">
        <f t="shared" si="8"/>
        <v>1520000</v>
      </c>
      <c r="Z34" s="178">
        <f t="shared" si="9"/>
        <v>608000</v>
      </c>
      <c r="AA34" s="173">
        <f>+pronostico!I33*2%</f>
        <v>400</v>
      </c>
      <c r="AB34" s="179">
        <f t="shared" si="10"/>
        <v>1520000</v>
      </c>
      <c r="AC34" s="180">
        <f t="shared" si="11"/>
        <v>608000</v>
      </c>
      <c r="AD34" s="173">
        <f>+pronostico!I33*10%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+pronostico!I34*50%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+pronostico!I34*20%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+pronostico!I34*8%</f>
        <v>1600</v>
      </c>
      <c r="S35" s="174">
        <f t="shared" si="4"/>
        <v>6400000</v>
      </c>
      <c r="T35" s="175">
        <f t="shared" si="5"/>
        <v>2560000</v>
      </c>
      <c r="U35" s="173">
        <f>+pronostico!I34*8%</f>
        <v>1600</v>
      </c>
      <c r="V35" s="176">
        <f t="shared" si="6"/>
        <v>6400000</v>
      </c>
      <c r="W35" s="177">
        <f t="shared" si="7"/>
        <v>2560000</v>
      </c>
      <c r="X35" s="173">
        <f>+pronostico!I34*2%</f>
        <v>400</v>
      </c>
      <c r="Y35" s="178">
        <f t="shared" si="8"/>
        <v>1600000</v>
      </c>
      <c r="Z35" s="178">
        <f t="shared" si="9"/>
        <v>640000</v>
      </c>
      <c r="AA35" s="173">
        <f>+pronostico!I34*2%</f>
        <v>400</v>
      </c>
      <c r="AB35" s="179">
        <f t="shared" si="10"/>
        <v>1600000</v>
      </c>
      <c r="AC35" s="180">
        <f t="shared" si="11"/>
        <v>640000</v>
      </c>
      <c r="AD35" s="173">
        <f>+pronostico!I34*10%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+pronostico!I35*50%</f>
        <v>153339.5</v>
      </c>
      <c r="G36" s="137">
        <f t="shared" si="13"/>
        <v>292878445</v>
      </c>
      <c r="H36" s="138">
        <f t="shared" si="13"/>
        <v>146439222.5</v>
      </c>
      <c r="I36" s="137">
        <f t="shared" si="21"/>
        <v>92003.7</v>
      </c>
      <c r="J36" s="139">
        <f t="shared" si="15"/>
        <v>46001.85</v>
      </c>
      <c r="K36" s="167">
        <f t="shared" si="0"/>
        <v>15333.95</v>
      </c>
      <c r="L36" s="168" t="s">
        <v>21</v>
      </c>
      <c r="M36" s="169">
        <f>+pronostico!I35*20%</f>
        <v>61335.8</v>
      </c>
      <c r="N36" s="170">
        <f t="shared" si="2"/>
        <v>117151378</v>
      </c>
      <c r="O36" s="171">
        <f t="shared" si="3"/>
        <v>58575689</v>
      </c>
      <c r="P36" s="170">
        <f t="shared" si="16"/>
        <v>30667.9</v>
      </c>
      <c r="Q36" s="172">
        <f t="shared" si="17"/>
        <v>30667.9</v>
      </c>
      <c r="R36" s="173">
        <f>+pronostico!I35*8%</f>
        <v>24534.32</v>
      </c>
      <c r="S36" s="174">
        <f t="shared" si="4"/>
        <v>46860551.200000003</v>
      </c>
      <c r="T36" s="175">
        <f t="shared" si="5"/>
        <v>23430275.600000001</v>
      </c>
      <c r="U36" s="173">
        <f>+pronostico!I35*8%</f>
        <v>24534.32</v>
      </c>
      <c r="V36" s="176">
        <v>0</v>
      </c>
      <c r="W36" s="177">
        <f t="shared" ref="W36:W51" si="22">V36*E36</f>
        <v>0</v>
      </c>
      <c r="X36" s="173">
        <f>+pronostico!I35*2%</f>
        <v>6133.58</v>
      </c>
      <c r="Y36" s="178">
        <f t="shared" si="8"/>
        <v>11715137.800000001</v>
      </c>
      <c r="Z36" s="178">
        <f t="shared" si="9"/>
        <v>5857568.9000000004</v>
      </c>
      <c r="AA36" s="173">
        <f>+pronostico!I35*2%</f>
        <v>6133.58</v>
      </c>
      <c r="AB36" s="179">
        <f t="shared" si="10"/>
        <v>11715137.800000001</v>
      </c>
      <c r="AC36" s="180">
        <f t="shared" si="11"/>
        <v>5857568.9000000004</v>
      </c>
      <c r="AD36" s="173">
        <f>+pronostico!I35*10%</f>
        <v>30667.9</v>
      </c>
      <c r="AE36" s="176">
        <f t="shared" si="20"/>
        <v>58575689</v>
      </c>
      <c r="AF36" s="177">
        <f t="shared" si="20"/>
        <v>29287844.5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+pronostico!I36*50%</f>
        <v>143062.5</v>
      </c>
      <c r="G37" s="137">
        <f t="shared" si="13"/>
        <v>310445625</v>
      </c>
      <c r="H37" s="138">
        <f t="shared" si="13"/>
        <v>155222812.5</v>
      </c>
      <c r="I37" s="137">
        <f t="shared" si="21"/>
        <v>85837.5</v>
      </c>
      <c r="J37" s="139">
        <f t="shared" si="15"/>
        <v>42918.75</v>
      </c>
      <c r="K37" s="167">
        <f t="shared" si="0"/>
        <v>14306.25</v>
      </c>
      <c r="L37" s="168" t="s">
        <v>21</v>
      </c>
      <c r="M37" s="169">
        <f>+pronostico!I36*20%</f>
        <v>57225</v>
      </c>
      <c r="N37" s="170">
        <f t="shared" si="2"/>
        <v>124178250</v>
      </c>
      <c r="O37" s="171">
        <f t="shared" si="3"/>
        <v>62089125</v>
      </c>
      <c r="P37" s="170">
        <f t="shared" si="16"/>
        <v>28612.5</v>
      </c>
      <c r="Q37" s="172">
        <f t="shared" si="17"/>
        <v>28612.5</v>
      </c>
      <c r="R37" s="173">
        <f>+pronostico!I36*8%</f>
        <v>22890</v>
      </c>
      <c r="S37" s="174">
        <f t="shared" si="4"/>
        <v>49671300</v>
      </c>
      <c r="T37" s="175">
        <f t="shared" si="5"/>
        <v>24835650</v>
      </c>
      <c r="U37" s="173">
        <f>+pronostico!I36*8%</f>
        <v>22890</v>
      </c>
      <c r="V37" s="176">
        <v>0</v>
      </c>
      <c r="W37" s="177">
        <f t="shared" si="22"/>
        <v>0</v>
      </c>
      <c r="X37" s="173">
        <f>+pronostico!I36*2%</f>
        <v>5722.5</v>
      </c>
      <c r="Y37" s="178">
        <f t="shared" si="8"/>
        <v>12417825</v>
      </c>
      <c r="Z37" s="178">
        <f t="shared" si="9"/>
        <v>6208912.5</v>
      </c>
      <c r="AA37" s="173">
        <f>+pronostico!I36*2%</f>
        <v>5722.5</v>
      </c>
      <c r="AB37" s="179">
        <f t="shared" si="10"/>
        <v>12417825</v>
      </c>
      <c r="AC37" s="180">
        <f t="shared" si="11"/>
        <v>6208912.5</v>
      </c>
      <c r="AD37" s="173">
        <f>+pronostico!I36*10%</f>
        <v>28612.5</v>
      </c>
      <c r="AE37" s="176">
        <f t="shared" ref="AE37:AF51" si="23">+AD37*D37</f>
        <v>62089125</v>
      </c>
      <c r="AF37" s="177">
        <f t="shared" si="23"/>
        <v>31044562.5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+pronostico!I37*50%</f>
        <v>114491</v>
      </c>
      <c r="G38" s="137">
        <f t="shared" si="13"/>
        <v>191199970</v>
      </c>
      <c r="H38" s="138">
        <f t="shared" si="13"/>
        <v>95599985</v>
      </c>
      <c r="I38" s="137">
        <f t="shared" si="21"/>
        <v>68694.599999999991</v>
      </c>
      <c r="J38" s="139">
        <f t="shared" si="15"/>
        <v>34347.299999999996</v>
      </c>
      <c r="K38" s="167">
        <f t="shared" si="0"/>
        <v>11449.1</v>
      </c>
      <c r="L38" s="168" t="s">
        <v>21</v>
      </c>
      <c r="M38" s="169">
        <f>+pronostico!I37*20%</f>
        <v>45796.4</v>
      </c>
      <c r="N38" s="170">
        <f t="shared" si="2"/>
        <v>76479988</v>
      </c>
      <c r="O38" s="171">
        <f t="shared" si="3"/>
        <v>38239994</v>
      </c>
      <c r="P38" s="170">
        <f t="shared" si="16"/>
        <v>22898.2</v>
      </c>
      <c r="Q38" s="172">
        <f t="shared" si="17"/>
        <v>22898.2</v>
      </c>
      <c r="R38" s="173">
        <f>+pronostico!I37*8%</f>
        <v>18318.560000000001</v>
      </c>
      <c r="S38" s="174">
        <f t="shared" si="4"/>
        <v>30591995.200000003</v>
      </c>
      <c r="T38" s="175">
        <f t="shared" si="5"/>
        <v>15295997.600000001</v>
      </c>
      <c r="U38" s="173">
        <f>+pronostico!I37*8%</f>
        <v>18318.560000000001</v>
      </c>
      <c r="V38" s="176">
        <v>0</v>
      </c>
      <c r="W38" s="177">
        <f t="shared" si="22"/>
        <v>0</v>
      </c>
      <c r="X38" s="173">
        <f>+pronostico!I37*2%</f>
        <v>4579.6400000000003</v>
      </c>
      <c r="Y38" s="178">
        <f t="shared" si="8"/>
        <v>7647998.8000000007</v>
      </c>
      <c r="Z38" s="178">
        <f t="shared" si="9"/>
        <v>3823999.4000000004</v>
      </c>
      <c r="AA38" s="173">
        <f>+pronostico!I37*2%</f>
        <v>4579.6400000000003</v>
      </c>
      <c r="AB38" s="179">
        <f t="shared" si="10"/>
        <v>7647998.8000000007</v>
      </c>
      <c r="AC38" s="180">
        <f t="shared" si="11"/>
        <v>3823999.4000000004</v>
      </c>
      <c r="AD38" s="173">
        <f>+pronostico!I37*10%</f>
        <v>22898.2</v>
      </c>
      <c r="AE38" s="176">
        <f t="shared" si="23"/>
        <v>38239994</v>
      </c>
      <c r="AF38" s="177">
        <f t="shared" si="23"/>
        <v>19119997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+pronostico!I38*50%</f>
        <v>56550.5</v>
      </c>
      <c r="G39" s="137">
        <f t="shared" si="13"/>
        <v>57681510</v>
      </c>
      <c r="H39" s="138">
        <f t="shared" si="13"/>
        <v>28840755</v>
      </c>
      <c r="I39" s="137">
        <f t="shared" si="21"/>
        <v>33930.299999999996</v>
      </c>
      <c r="J39" s="139">
        <f t="shared" si="15"/>
        <v>16965.149999999998</v>
      </c>
      <c r="K39" s="167">
        <f t="shared" si="0"/>
        <v>5655.05</v>
      </c>
      <c r="L39" s="168" t="s">
        <v>21</v>
      </c>
      <c r="M39" s="169">
        <f>+pronostico!I38*20%</f>
        <v>22620.2</v>
      </c>
      <c r="N39" s="170">
        <f t="shared" si="2"/>
        <v>23072604</v>
      </c>
      <c r="O39" s="171">
        <f t="shared" si="3"/>
        <v>11536302</v>
      </c>
      <c r="P39" s="170">
        <f t="shared" si="16"/>
        <v>11310.1</v>
      </c>
      <c r="Q39" s="172">
        <f t="shared" si="17"/>
        <v>11310.1</v>
      </c>
      <c r="R39" s="173">
        <f>+pronostico!I38*8%</f>
        <v>9048.08</v>
      </c>
      <c r="S39" s="174">
        <f t="shared" si="4"/>
        <v>9229041.5999999996</v>
      </c>
      <c r="T39" s="175">
        <f t="shared" si="5"/>
        <v>4614520.8</v>
      </c>
      <c r="U39" s="173">
        <f>+pronostico!I38*8%</f>
        <v>9048.08</v>
      </c>
      <c r="V39" s="176">
        <v>0</v>
      </c>
      <c r="W39" s="177">
        <f t="shared" si="22"/>
        <v>0</v>
      </c>
      <c r="X39" s="173">
        <f>+pronostico!I38*2%</f>
        <v>2262.02</v>
      </c>
      <c r="Y39" s="178">
        <f t="shared" si="8"/>
        <v>2307260.4</v>
      </c>
      <c r="Z39" s="178">
        <f t="shared" si="9"/>
        <v>1153630.2</v>
      </c>
      <c r="AA39" s="173">
        <f>+pronostico!I38*2%</f>
        <v>2262.02</v>
      </c>
      <c r="AB39" s="179">
        <f t="shared" si="10"/>
        <v>2307260.4</v>
      </c>
      <c r="AC39" s="180">
        <f t="shared" si="11"/>
        <v>1153630.2</v>
      </c>
      <c r="AD39" s="173">
        <f>+pronostico!I38*10%</f>
        <v>11310.1</v>
      </c>
      <c r="AE39" s="176">
        <f t="shared" si="23"/>
        <v>11536302</v>
      </c>
      <c r="AF39" s="177">
        <f t="shared" si="23"/>
        <v>5768151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+pronostico!I39*50%</f>
        <v>62556</v>
      </c>
      <c r="G40" s="137">
        <f t="shared" si="13"/>
        <v>89455080</v>
      </c>
      <c r="H40" s="138">
        <f t="shared" si="13"/>
        <v>44727540</v>
      </c>
      <c r="I40" s="137">
        <f t="shared" si="21"/>
        <v>37533.599999999999</v>
      </c>
      <c r="J40" s="139">
        <f t="shared" si="15"/>
        <v>18766.8</v>
      </c>
      <c r="K40" s="167">
        <f t="shared" si="0"/>
        <v>6255.6</v>
      </c>
      <c r="L40" s="168" t="s">
        <v>21</v>
      </c>
      <c r="M40" s="169">
        <f>+pronostico!I39*20%</f>
        <v>25022.400000000001</v>
      </c>
      <c r="N40" s="170">
        <f t="shared" si="2"/>
        <v>35782032</v>
      </c>
      <c r="O40" s="171">
        <f t="shared" si="3"/>
        <v>17891016</v>
      </c>
      <c r="P40" s="170">
        <f t="shared" si="16"/>
        <v>12511.2</v>
      </c>
      <c r="Q40" s="172">
        <f t="shared" si="17"/>
        <v>12511.2</v>
      </c>
      <c r="R40" s="173">
        <f>+pronostico!I39*8%</f>
        <v>10008.960000000001</v>
      </c>
      <c r="S40" s="174">
        <f t="shared" si="4"/>
        <v>14312812.800000001</v>
      </c>
      <c r="T40" s="175">
        <f t="shared" si="5"/>
        <v>7156406.4000000004</v>
      </c>
      <c r="U40" s="173">
        <f>+pronostico!I39*8%</f>
        <v>10008.960000000001</v>
      </c>
      <c r="V40" s="176">
        <v>0</v>
      </c>
      <c r="W40" s="177">
        <f t="shared" si="22"/>
        <v>0</v>
      </c>
      <c r="X40" s="173">
        <f>+pronostico!I39*2%</f>
        <v>2502.2400000000002</v>
      </c>
      <c r="Y40" s="178">
        <f t="shared" si="8"/>
        <v>3578203.2</v>
      </c>
      <c r="Z40" s="178">
        <f t="shared" si="9"/>
        <v>1789101.6</v>
      </c>
      <c r="AA40" s="173">
        <f>+pronostico!I39*2%</f>
        <v>2502.2400000000002</v>
      </c>
      <c r="AB40" s="179">
        <f t="shared" si="10"/>
        <v>3578203.2</v>
      </c>
      <c r="AC40" s="180">
        <f t="shared" si="11"/>
        <v>1789101.6</v>
      </c>
      <c r="AD40" s="173">
        <f>+pronostico!I39*10%</f>
        <v>12511.2</v>
      </c>
      <c r="AE40" s="176">
        <f t="shared" si="23"/>
        <v>17891016</v>
      </c>
      <c r="AF40" s="177">
        <f t="shared" si="23"/>
        <v>8945508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+pronostico!I40*50%</f>
        <v>52098</v>
      </c>
      <c r="G41" s="137">
        <f t="shared" si="13"/>
        <v>690819480</v>
      </c>
      <c r="H41" s="138">
        <f t="shared" si="13"/>
        <v>276327792</v>
      </c>
      <c r="I41" s="137">
        <f t="shared" si="21"/>
        <v>31258.799999999999</v>
      </c>
      <c r="J41" s="139">
        <f t="shared" si="15"/>
        <v>15629.4</v>
      </c>
      <c r="K41" s="167">
        <f t="shared" si="0"/>
        <v>5209.8</v>
      </c>
      <c r="L41" s="168" t="s">
        <v>21</v>
      </c>
      <c r="M41" s="169">
        <f>+pronostico!I40*20%</f>
        <v>20839.2</v>
      </c>
      <c r="N41" s="170">
        <f t="shared" si="2"/>
        <v>276327792</v>
      </c>
      <c r="O41" s="171">
        <f t="shared" si="3"/>
        <v>110531116.80000001</v>
      </c>
      <c r="P41" s="170">
        <f t="shared" si="16"/>
        <v>10419.6</v>
      </c>
      <c r="Q41" s="172">
        <f t="shared" si="17"/>
        <v>10419.6</v>
      </c>
      <c r="R41" s="173">
        <f>+pronostico!I40*8%</f>
        <v>8335.68</v>
      </c>
      <c r="S41" s="174">
        <f t="shared" si="4"/>
        <v>110531116.8</v>
      </c>
      <c r="T41" s="175">
        <f t="shared" si="5"/>
        <v>44212446.719999999</v>
      </c>
      <c r="U41" s="173">
        <f>+pronostico!I40*8%</f>
        <v>8335.68</v>
      </c>
      <c r="V41" s="176">
        <v>0</v>
      </c>
      <c r="W41" s="177">
        <f t="shared" si="22"/>
        <v>0</v>
      </c>
      <c r="X41" s="173">
        <f>+pronostico!I40*2%</f>
        <v>2083.92</v>
      </c>
      <c r="Y41" s="178">
        <f t="shared" si="8"/>
        <v>27632779.199999999</v>
      </c>
      <c r="Z41" s="178">
        <f t="shared" si="9"/>
        <v>11053111.68</v>
      </c>
      <c r="AA41" s="173">
        <f>+pronostico!I40*2%</f>
        <v>2083.92</v>
      </c>
      <c r="AB41" s="179">
        <f t="shared" si="10"/>
        <v>27632779.199999999</v>
      </c>
      <c r="AC41" s="180">
        <f t="shared" si="11"/>
        <v>11053111.68</v>
      </c>
      <c r="AD41" s="173">
        <f>+pronostico!I40*10%</f>
        <v>10419.6</v>
      </c>
      <c r="AE41" s="176">
        <f t="shared" si="23"/>
        <v>138163896</v>
      </c>
      <c r="AF41" s="177">
        <f t="shared" si="23"/>
        <v>55265558.400000006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+pronostico!I41*50%</f>
        <v>28940</v>
      </c>
      <c r="G42" s="137">
        <f t="shared" si="13"/>
        <v>82189600</v>
      </c>
      <c r="H42" s="138">
        <f t="shared" si="13"/>
        <v>41094800</v>
      </c>
      <c r="I42" s="137">
        <f t="shared" si="21"/>
        <v>17364</v>
      </c>
      <c r="J42" s="139">
        <f t="shared" si="15"/>
        <v>8682</v>
      </c>
      <c r="K42" s="167">
        <f t="shared" si="0"/>
        <v>2894</v>
      </c>
      <c r="L42" s="168" t="s">
        <v>21</v>
      </c>
      <c r="M42" s="169">
        <f>+pronostico!I41*20%</f>
        <v>11576</v>
      </c>
      <c r="N42" s="170">
        <f t="shared" si="2"/>
        <v>32875840</v>
      </c>
      <c r="O42" s="171">
        <f t="shared" si="3"/>
        <v>16437920</v>
      </c>
      <c r="P42" s="170">
        <f t="shared" si="16"/>
        <v>5788</v>
      </c>
      <c r="Q42" s="172">
        <f t="shared" si="17"/>
        <v>5788</v>
      </c>
      <c r="R42" s="173">
        <f>+pronostico!I41*8%</f>
        <v>4630.4000000000005</v>
      </c>
      <c r="S42" s="174">
        <f t="shared" si="4"/>
        <v>13150336.000000002</v>
      </c>
      <c r="T42" s="175">
        <f t="shared" si="5"/>
        <v>6575168.0000000009</v>
      </c>
      <c r="U42" s="173">
        <f>+pronostico!I41*8%</f>
        <v>4630.4000000000005</v>
      </c>
      <c r="V42" s="176">
        <v>0</v>
      </c>
      <c r="W42" s="177">
        <f t="shared" si="22"/>
        <v>0</v>
      </c>
      <c r="X42" s="173">
        <f>+pronostico!I41*2%</f>
        <v>1157.6000000000001</v>
      </c>
      <c r="Y42" s="178">
        <f t="shared" si="8"/>
        <v>3287584.0000000005</v>
      </c>
      <c r="Z42" s="178">
        <f t="shared" si="9"/>
        <v>1643792.0000000002</v>
      </c>
      <c r="AA42" s="173">
        <f>+pronostico!I41*2%</f>
        <v>1157.6000000000001</v>
      </c>
      <c r="AB42" s="179">
        <f t="shared" si="10"/>
        <v>3287584.0000000005</v>
      </c>
      <c r="AC42" s="180">
        <f t="shared" si="11"/>
        <v>1643792.0000000002</v>
      </c>
      <c r="AD42" s="173">
        <f>+pronostico!I41*10%</f>
        <v>5788</v>
      </c>
      <c r="AE42" s="176">
        <f t="shared" si="23"/>
        <v>16437920</v>
      </c>
      <c r="AF42" s="177">
        <f t="shared" si="23"/>
        <v>8218960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+pronostico!I42*50%</f>
        <v>26106.5</v>
      </c>
      <c r="G43" s="137">
        <f t="shared" si="13"/>
        <v>99204700</v>
      </c>
      <c r="H43" s="138">
        <f t="shared" si="13"/>
        <v>39681880</v>
      </c>
      <c r="I43" s="137">
        <f t="shared" si="21"/>
        <v>15663.9</v>
      </c>
      <c r="J43" s="139">
        <f t="shared" si="15"/>
        <v>7831.95</v>
      </c>
      <c r="K43" s="167">
        <f t="shared" si="0"/>
        <v>2610.65</v>
      </c>
      <c r="L43" s="168" t="s">
        <v>21</v>
      </c>
      <c r="M43" s="169">
        <f>+pronostico!I42*20%</f>
        <v>10442.6</v>
      </c>
      <c r="N43" s="170">
        <f t="shared" si="2"/>
        <v>39681880</v>
      </c>
      <c r="O43" s="171">
        <f t="shared" si="3"/>
        <v>15872752</v>
      </c>
      <c r="P43" s="170">
        <f t="shared" si="16"/>
        <v>5221.3</v>
      </c>
      <c r="Q43" s="172">
        <f t="shared" si="17"/>
        <v>5221.3</v>
      </c>
      <c r="R43" s="173">
        <f>+pronostico!I42*8%</f>
        <v>4177.04</v>
      </c>
      <c r="S43" s="174">
        <f t="shared" si="4"/>
        <v>15872752</v>
      </c>
      <c r="T43" s="175">
        <f t="shared" si="5"/>
        <v>6349100.8000000007</v>
      </c>
      <c r="U43" s="173">
        <f>+pronostico!I42*8%</f>
        <v>4177.04</v>
      </c>
      <c r="V43" s="176">
        <v>0</v>
      </c>
      <c r="W43" s="177">
        <f t="shared" si="22"/>
        <v>0</v>
      </c>
      <c r="X43" s="173">
        <f>+pronostico!I42*2%</f>
        <v>1044.26</v>
      </c>
      <c r="Y43" s="178">
        <f t="shared" si="8"/>
        <v>3968188</v>
      </c>
      <c r="Z43" s="178">
        <f t="shared" si="9"/>
        <v>1587275.2000000002</v>
      </c>
      <c r="AA43" s="173">
        <f>+pronostico!I42*2%</f>
        <v>1044.26</v>
      </c>
      <c r="AB43" s="179">
        <f t="shared" si="10"/>
        <v>3968188</v>
      </c>
      <c r="AC43" s="180">
        <f t="shared" si="11"/>
        <v>1587275.2000000002</v>
      </c>
      <c r="AD43" s="173">
        <f>+pronostico!I42*10%</f>
        <v>5221.3</v>
      </c>
      <c r="AE43" s="176">
        <f t="shared" si="23"/>
        <v>19840940</v>
      </c>
      <c r="AF43" s="177">
        <f t="shared" si="23"/>
        <v>7936376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+pronostico!I43*50%</f>
        <v>25817.289552627579</v>
      </c>
      <c r="G44" s="137">
        <f t="shared" si="13"/>
        <v>88811476.061038867</v>
      </c>
      <c r="H44" s="138">
        <f t="shared" si="13"/>
        <v>44405738.030519433</v>
      </c>
      <c r="I44" s="137">
        <f t="shared" si="21"/>
        <v>15490.373731576547</v>
      </c>
      <c r="J44" s="139">
        <f t="shared" si="15"/>
        <v>7745.1868657882733</v>
      </c>
      <c r="K44" s="167">
        <f t="shared" si="0"/>
        <v>2581.7289552627581</v>
      </c>
      <c r="L44" s="168" t="s">
        <v>21</v>
      </c>
      <c r="M44" s="169">
        <f>+pronostico!I43*20%</f>
        <v>10326.915821051032</v>
      </c>
      <c r="N44" s="170">
        <f t="shared" si="2"/>
        <v>35524590.424415551</v>
      </c>
      <c r="O44" s="171">
        <f t="shared" si="3"/>
        <v>17762295.212207776</v>
      </c>
      <c r="P44" s="170">
        <f t="shared" si="16"/>
        <v>5163.4579105255161</v>
      </c>
      <c r="Q44" s="172">
        <f t="shared" si="17"/>
        <v>5163.4579105255161</v>
      </c>
      <c r="R44" s="173">
        <f>+pronostico!I43*8%</f>
        <v>4130.7663284204127</v>
      </c>
      <c r="S44" s="174">
        <f t="shared" si="4"/>
        <v>14209836.169766219</v>
      </c>
      <c r="T44" s="175">
        <f t="shared" si="5"/>
        <v>7104918.0848831097</v>
      </c>
      <c r="U44" s="173">
        <f>+pronostico!I43*8%</f>
        <v>4130.7663284204127</v>
      </c>
      <c r="V44" s="176">
        <f t="shared" ref="V44:V51" si="24">U44*D44</f>
        <v>14209836.169766219</v>
      </c>
      <c r="W44" s="177">
        <f t="shared" si="22"/>
        <v>7104918.0848831097</v>
      </c>
      <c r="X44" s="173">
        <f>+pronostico!I43*2%</f>
        <v>1032.6915821051032</v>
      </c>
      <c r="Y44" s="178">
        <f t="shared" si="8"/>
        <v>3552459.0424415548</v>
      </c>
      <c r="Z44" s="178">
        <f t="shared" si="9"/>
        <v>1776229.5212207774</v>
      </c>
      <c r="AA44" s="173">
        <f>+pronostico!I43*2%</f>
        <v>1032.6915821051032</v>
      </c>
      <c r="AB44" s="179">
        <f t="shared" si="10"/>
        <v>3552459.0424415548</v>
      </c>
      <c r="AC44" s="180">
        <f t="shared" si="11"/>
        <v>1776229.5212207774</v>
      </c>
      <c r="AD44" s="173">
        <f>+pronostico!I43*10%</f>
        <v>5163.4579105255161</v>
      </c>
      <c r="AE44" s="176">
        <f t="shared" si="23"/>
        <v>17762295.212207776</v>
      </c>
      <c r="AF44" s="177">
        <f t="shared" si="23"/>
        <v>8881147.6061038878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+pronostico!I44*50%</f>
        <v>30330.337597816979</v>
      </c>
      <c r="G45" s="137">
        <f t="shared" si="13"/>
        <v>62480495.451502979</v>
      </c>
      <c r="H45" s="138">
        <f t="shared" si="13"/>
        <v>31240247.725751489</v>
      </c>
      <c r="I45" s="137">
        <f t="shared" si="21"/>
        <v>18198.202558690187</v>
      </c>
      <c r="J45" s="139">
        <f t="shared" si="15"/>
        <v>9099.1012793450936</v>
      </c>
      <c r="K45" s="167">
        <f t="shared" si="0"/>
        <v>3033.0337597816979</v>
      </c>
      <c r="L45" s="168" t="s">
        <v>21</v>
      </c>
      <c r="M45" s="169">
        <f>+pronostico!I44*20%</f>
        <v>12132.135039126792</v>
      </c>
      <c r="N45" s="170">
        <f t="shared" si="2"/>
        <v>24992198.180601191</v>
      </c>
      <c r="O45" s="171">
        <f t="shared" si="3"/>
        <v>12496099.090300595</v>
      </c>
      <c r="P45" s="170">
        <f t="shared" si="16"/>
        <v>6066.0675195633958</v>
      </c>
      <c r="Q45" s="172">
        <f t="shared" si="17"/>
        <v>6066.0675195633958</v>
      </c>
      <c r="R45" s="173">
        <f>+pronostico!I44*8%</f>
        <v>4852.854015650717</v>
      </c>
      <c r="S45" s="174">
        <f t="shared" si="4"/>
        <v>9996879.2722404767</v>
      </c>
      <c r="T45" s="175">
        <f t="shared" si="5"/>
        <v>4998439.6361202383</v>
      </c>
      <c r="U45" s="173">
        <f>+pronostico!I44*8%</f>
        <v>4852.854015650717</v>
      </c>
      <c r="V45" s="176">
        <f t="shared" si="24"/>
        <v>9996879.2722404767</v>
      </c>
      <c r="W45" s="177">
        <f t="shared" si="22"/>
        <v>4998439.6361202383</v>
      </c>
      <c r="X45" s="173">
        <f>+pronostico!I44*2%</f>
        <v>1213.2135039126792</v>
      </c>
      <c r="Y45" s="178">
        <f t="shared" si="8"/>
        <v>2499219.8180601192</v>
      </c>
      <c r="Z45" s="178">
        <f t="shared" si="9"/>
        <v>1249609.9090300596</v>
      </c>
      <c r="AA45" s="173">
        <f>+pronostico!I44*2%</f>
        <v>1213.2135039126792</v>
      </c>
      <c r="AB45" s="179">
        <f t="shared" si="10"/>
        <v>2499219.8180601192</v>
      </c>
      <c r="AC45" s="180">
        <f t="shared" si="11"/>
        <v>1249609.9090300596</v>
      </c>
      <c r="AD45" s="173">
        <f>+pronostico!I44*10%</f>
        <v>6066.0675195633958</v>
      </c>
      <c r="AE45" s="176">
        <f t="shared" si="23"/>
        <v>12496099.090300595</v>
      </c>
      <c r="AF45" s="177">
        <f t="shared" si="23"/>
        <v>6248049.5451502977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+pronostico!I45*50%</f>
        <v>15596.563097345699</v>
      </c>
      <c r="G46" s="137">
        <f t="shared" si="13"/>
        <v>43826342.303541414</v>
      </c>
      <c r="H46" s="138">
        <f t="shared" si="13"/>
        <v>21913171.151770707</v>
      </c>
      <c r="I46" s="137">
        <f t="shared" si="21"/>
        <v>9357.9378584074184</v>
      </c>
      <c r="J46" s="139">
        <f t="shared" si="15"/>
        <v>4678.9689292037092</v>
      </c>
      <c r="K46" s="167">
        <f t="shared" si="0"/>
        <v>1559.65630973457</v>
      </c>
      <c r="L46" s="168" t="s">
        <v>21</v>
      </c>
      <c r="M46" s="169">
        <f>+pronostico!I45*20%</f>
        <v>6238.6252389382798</v>
      </c>
      <c r="N46" s="170">
        <f t="shared" si="2"/>
        <v>17530536.921416566</v>
      </c>
      <c r="O46" s="171">
        <f t="shared" si="3"/>
        <v>8765268.4607082829</v>
      </c>
      <c r="P46" s="170">
        <f t="shared" si="16"/>
        <v>3119.3126194691399</v>
      </c>
      <c r="Q46" s="172">
        <f t="shared" si="17"/>
        <v>3119.3126194691399</v>
      </c>
      <c r="R46" s="173">
        <f>+pronostico!I45*8%</f>
        <v>2495.4500955753119</v>
      </c>
      <c r="S46" s="174">
        <f t="shared" si="4"/>
        <v>7012214.7685666261</v>
      </c>
      <c r="T46" s="175">
        <f t="shared" si="5"/>
        <v>3506107.3842833131</v>
      </c>
      <c r="U46" s="173">
        <f>+pronostico!I45*8%</f>
        <v>2495.4500955753119</v>
      </c>
      <c r="V46" s="176">
        <f t="shared" si="24"/>
        <v>7012214.7685666261</v>
      </c>
      <c r="W46" s="177">
        <f t="shared" si="22"/>
        <v>3506107.3842833131</v>
      </c>
      <c r="X46" s="173">
        <f>+pronostico!I45*2%</f>
        <v>623.86252389382798</v>
      </c>
      <c r="Y46" s="178">
        <f t="shared" si="8"/>
        <v>1753053.6921416565</v>
      </c>
      <c r="Z46" s="178">
        <f t="shared" si="9"/>
        <v>876526.84607082827</v>
      </c>
      <c r="AA46" s="173">
        <f>+pronostico!I45*2%</f>
        <v>623.86252389382798</v>
      </c>
      <c r="AB46" s="179">
        <f t="shared" si="10"/>
        <v>1753053.6921416565</v>
      </c>
      <c r="AC46" s="180">
        <f t="shared" si="11"/>
        <v>876526.84607082827</v>
      </c>
      <c r="AD46" s="173">
        <f>+pronostico!I45*10%</f>
        <v>3119.3126194691399</v>
      </c>
      <c r="AE46" s="176">
        <f t="shared" si="23"/>
        <v>8765268.4607082829</v>
      </c>
      <c r="AF46" s="177">
        <f t="shared" si="23"/>
        <v>4382634.2303541414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+pronostico!I46*50%</f>
        <v>12742.723892299471</v>
      </c>
      <c r="G47" s="137">
        <f t="shared" si="13"/>
        <v>52754876.91411981</v>
      </c>
      <c r="H47" s="138">
        <f t="shared" si="13"/>
        <v>21101950.765647925</v>
      </c>
      <c r="I47" s="137">
        <f t="shared" si="21"/>
        <v>7645.6343353796819</v>
      </c>
      <c r="J47" s="139">
        <f t="shared" si="15"/>
        <v>3822.817167689841</v>
      </c>
      <c r="K47" s="167">
        <f t="shared" si="0"/>
        <v>1274.2723892299473</v>
      </c>
      <c r="L47" s="168" t="s">
        <v>21</v>
      </c>
      <c r="M47" s="169">
        <f>+pronostico!I46*20%</f>
        <v>5097.0895569197892</v>
      </c>
      <c r="N47" s="170">
        <f t="shared" si="2"/>
        <v>21101950.765647925</v>
      </c>
      <c r="O47" s="171">
        <f t="shared" si="3"/>
        <v>8440780.3062591702</v>
      </c>
      <c r="P47" s="170">
        <f t="shared" si="16"/>
        <v>2548.5447784598946</v>
      </c>
      <c r="Q47" s="172">
        <f t="shared" si="17"/>
        <v>2548.5447784598946</v>
      </c>
      <c r="R47" s="173">
        <f>+pronostico!I46*8%</f>
        <v>2038.8358227679155</v>
      </c>
      <c r="S47" s="174">
        <f t="shared" si="4"/>
        <v>8440780.3062591702</v>
      </c>
      <c r="T47" s="175">
        <f t="shared" si="5"/>
        <v>3376312.1225036681</v>
      </c>
      <c r="U47" s="173">
        <f>+pronostico!I46*8%</f>
        <v>2038.8358227679155</v>
      </c>
      <c r="V47" s="176">
        <f t="shared" si="24"/>
        <v>8440780.3062591702</v>
      </c>
      <c r="W47" s="177">
        <f t="shared" si="22"/>
        <v>3376312.1225036681</v>
      </c>
      <c r="X47" s="173">
        <f>+pronostico!I46*2%</f>
        <v>509.70895569197887</v>
      </c>
      <c r="Y47" s="178">
        <f t="shared" si="8"/>
        <v>2110195.0765647925</v>
      </c>
      <c r="Z47" s="178">
        <f t="shared" si="9"/>
        <v>844078.03062591702</v>
      </c>
      <c r="AA47" s="173">
        <f>+pronostico!I46*2%</f>
        <v>509.70895569197887</v>
      </c>
      <c r="AB47" s="179">
        <f t="shared" si="10"/>
        <v>2110195.0765647925</v>
      </c>
      <c r="AC47" s="180">
        <f t="shared" si="11"/>
        <v>844078.03062591702</v>
      </c>
      <c r="AD47" s="173">
        <f>+pronostico!I46*10%</f>
        <v>2548.5447784598946</v>
      </c>
      <c r="AE47" s="176">
        <f t="shared" si="23"/>
        <v>10550975.382823963</v>
      </c>
      <c r="AF47" s="177">
        <f t="shared" si="23"/>
        <v>4220390.1531295851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+pronostico!I47*50%</f>
        <v>14043.861255794283</v>
      </c>
      <c r="G48" s="137">
        <f t="shared" si="13"/>
        <v>30194301.69995771</v>
      </c>
      <c r="H48" s="138">
        <f t="shared" si="13"/>
        <v>15097150.849978855</v>
      </c>
      <c r="I48" s="137">
        <f t="shared" si="21"/>
        <v>8426.3167534765689</v>
      </c>
      <c r="J48" s="139">
        <f t="shared" si="15"/>
        <v>4213.1583767382845</v>
      </c>
      <c r="K48" s="167">
        <f t="shared" si="0"/>
        <v>1404.3861255794284</v>
      </c>
      <c r="L48" s="168" t="s">
        <v>21</v>
      </c>
      <c r="M48" s="169">
        <f>+pronostico!I47*20%</f>
        <v>5617.5445023177135</v>
      </c>
      <c r="N48" s="170">
        <f t="shared" si="2"/>
        <v>12077720.679983083</v>
      </c>
      <c r="O48" s="171">
        <f t="shared" si="3"/>
        <v>6038860.3399915416</v>
      </c>
      <c r="P48" s="170">
        <f t="shared" si="16"/>
        <v>2808.7722511588568</v>
      </c>
      <c r="Q48" s="172">
        <f t="shared" si="17"/>
        <v>2808.7722511588568</v>
      </c>
      <c r="R48" s="173">
        <f>+pronostico!I47*8%</f>
        <v>2247.0178009270853</v>
      </c>
      <c r="S48" s="174">
        <f t="shared" si="4"/>
        <v>4831088.2719932338</v>
      </c>
      <c r="T48" s="175">
        <f t="shared" si="5"/>
        <v>2415544.1359966169</v>
      </c>
      <c r="U48" s="173">
        <f>+pronostico!I47*8%</f>
        <v>2247.0178009270853</v>
      </c>
      <c r="V48" s="176">
        <f t="shared" si="24"/>
        <v>4831088.2719932338</v>
      </c>
      <c r="W48" s="177">
        <f t="shared" si="22"/>
        <v>2415544.1359966169</v>
      </c>
      <c r="X48" s="173">
        <f>+pronostico!I47*2%</f>
        <v>561.75445023177133</v>
      </c>
      <c r="Y48" s="178">
        <f t="shared" si="8"/>
        <v>1207772.0679983085</v>
      </c>
      <c r="Z48" s="178">
        <f t="shared" si="9"/>
        <v>603886.03399915423</v>
      </c>
      <c r="AA48" s="173">
        <f>+pronostico!I47*2%</f>
        <v>561.75445023177133</v>
      </c>
      <c r="AB48" s="179">
        <f t="shared" si="10"/>
        <v>1207772.0679983085</v>
      </c>
      <c r="AC48" s="180">
        <f t="shared" si="11"/>
        <v>603886.03399915423</v>
      </c>
      <c r="AD48" s="173">
        <f>+pronostico!I47*10%</f>
        <v>2808.7722511588568</v>
      </c>
      <c r="AE48" s="176">
        <f t="shared" si="23"/>
        <v>6038860.3399915416</v>
      </c>
      <c r="AF48" s="177">
        <f t="shared" si="23"/>
        <v>3019430.1699957708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+pronostico!I48*50%</f>
        <v>11149.883405762035</v>
      </c>
      <c r="G49" s="137">
        <f t="shared" si="13"/>
        <v>23972249.322388377</v>
      </c>
      <c r="H49" s="138">
        <f t="shared" si="13"/>
        <v>11986124.661194189</v>
      </c>
      <c r="I49" s="137">
        <f t="shared" si="21"/>
        <v>6689.9300434572206</v>
      </c>
      <c r="J49" s="139">
        <f t="shared" si="15"/>
        <v>3344.9650217286103</v>
      </c>
      <c r="K49" s="167">
        <f t="shared" si="0"/>
        <v>1114.9883405762037</v>
      </c>
      <c r="L49" s="168" t="s">
        <v>21</v>
      </c>
      <c r="M49" s="169">
        <f>+pronostico!I48*20%</f>
        <v>4459.9533623048146</v>
      </c>
      <c r="N49" s="170">
        <f t="shared" si="2"/>
        <v>9588899.7289553508</v>
      </c>
      <c r="O49" s="171">
        <f t="shared" si="3"/>
        <v>4794449.8644776754</v>
      </c>
      <c r="P49" s="170">
        <f t="shared" si="16"/>
        <v>2229.9766811524073</v>
      </c>
      <c r="Q49" s="172">
        <f t="shared" si="17"/>
        <v>2229.9766811524073</v>
      </c>
      <c r="R49" s="173">
        <f>+pronostico!I48*8%</f>
        <v>1783.9813449219257</v>
      </c>
      <c r="S49" s="174">
        <f t="shared" si="4"/>
        <v>3835559.8915821402</v>
      </c>
      <c r="T49" s="175">
        <f t="shared" si="5"/>
        <v>1917779.9457910701</v>
      </c>
      <c r="U49" s="173">
        <f>+pronostico!I48*8%</f>
        <v>1783.9813449219257</v>
      </c>
      <c r="V49" s="176">
        <f t="shared" si="24"/>
        <v>3835559.8915821402</v>
      </c>
      <c r="W49" s="177">
        <f t="shared" si="22"/>
        <v>1917779.9457910701</v>
      </c>
      <c r="X49" s="173">
        <f>+pronostico!I48*2%</f>
        <v>445.99533623048143</v>
      </c>
      <c r="Y49" s="178">
        <f t="shared" si="8"/>
        <v>958889.97289553506</v>
      </c>
      <c r="Z49" s="178">
        <f t="shared" si="9"/>
        <v>479444.98644776753</v>
      </c>
      <c r="AA49" s="173">
        <f>+pronostico!I48*2%</f>
        <v>445.99533623048143</v>
      </c>
      <c r="AB49" s="179">
        <f t="shared" si="10"/>
        <v>958889.97289553506</v>
      </c>
      <c r="AC49" s="180">
        <f t="shared" si="11"/>
        <v>479444.98644776753</v>
      </c>
      <c r="AD49" s="173">
        <f>+pronostico!I48*10%</f>
        <v>2229.9766811524073</v>
      </c>
      <c r="AE49" s="176">
        <f t="shared" si="23"/>
        <v>4794449.8644776754</v>
      </c>
      <c r="AF49" s="177">
        <f t="shared" si="23"/>
        <v>2397224.9322388377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+pronostico!I49*50%</f>
        <v>8163.3074935043514</v>
      </c>
      <c r="G50" s="137">
        <f t="shared" si="13"/>
        <v>33306294.573497754</v>
      </c>
      <c r="H50" s="138">
        <f t="shared" si="13"/>
        <v>13322517.829399101</v>
      </c>
      <c r="I50" s="137">
        <f t="shared" si="21"/>
        <v>4897.984496102611</v>
      </c>
      <c r="J50" s="139">
        <f t="shared" si="15"/>
        <v>2448.9922480513055</v>
      </c>
      <c r="K50" s="167">
        <f t="shared" si="0"/>
        <v>816.33074935043521</v>
      </c>
      <c r="L50" s="168" t="s">
        <v>21</v>
      </c>
      <c r="M50" s="169">
        <f>+pronostico!I49*20%</f>
        <v>3265.3229974017408</v>
      </c>
      <c r="N50" s="170">
        <f t="shared" si="2"/>
        <v>13322517.829399103</v>
      </c>
      <c r="O50" s="171">
        <f t="shared" si="3"/>
        <v>5329007.1317596417</v>
      </c>
      <c r="P50" s="170">
        <f t="shared" si="16"/>
        <v>1632.6614987008704</v>
      </c>
      <c r="Q50" s="172">
        <f t="shared" si="17"/>
        <v>1632.6614987008704</v>
      </c>
      <c r="R50" s="173">
        <f>+pronostico!I49*8%</f>
        <v>1306.1291989606962</v>
      </c>
      <c r="S50" s="174">
        <f t="shared" si="4"/>
        <v>5329007.1317596408</v>
      </c>
      <c r="T50" s="175">
        <f t="shared" si="5"/>
        <v>2131602.8527038563</v>
      </c>
      <c r="U50" s="173">
        <f>+pronostico!I49*8%</f>
        <v>1306.1291989606962</v>
      </c>
      <c r="V50" s="176">
        <f t="shared" si="24"/>
        <v>5329007.1317596408</v>
      </c>
      <c r="W50" s="177">
        <f t="shared" si="22"/>
        <v>2131602.8527038563</v>
      </c>
      <c r="X50" s="173">
        <f>+pronostico!I49*2%</f>
        <v>326.53229974017404</v>
      </c>
      <c r="Y50" s="178">
        <f t="shared" si="8"/>
        <v>1332251.7829399102</v>
      </c>
      <c r="Z50" s="178">
        <f t="shared" si="9"/>
        <v>532900.71317596408</v>
      </c>
      <c r="AA50" s="173">
        <f>+pronostico!I49*2%</f>
        <v>326.53229974017404</v>
      </c>
      <c r="AB50" s="179">
        <f t="shared" si="10"/>
        <v>1332251.7829399102</v>
      </c>
      <c r="AC50" s="180">
        <f t="shared" si="11"/>
        <v>532900.71317596408</v>
      </c>
      <c r="AD50" s="173">
        <f>+pronostico!I49*10%</f>
        <v>1632.6614987008704</v>
      </c>
      <c r="AE50" s="176">
        <f t="shared" si="23"/>
        <v>6661258.9146995516</v>
      </c>
      <c r="AF50" s="177">
        <f t="shared" si="23"/>
        <v>2664503.5658798208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+pronostico!I50*50%</f>
        <v>8893.3593831673406</v>
      </c>
      <c r="G51" s="150">
        <f t="shared" si="13"/>
        <v>49447078.170410417</v>
      </c>
      <c r="H51" s="138">
        <f t="shared" si="13"/>
        <v>19778831.268164169</v>
      </c>
      <c r="I51" s="150">
        <f t="shared" si="21"/>
        <v>5336.0156299004038</v>
      </c>
      <c r="J51" s="151">
        <f t="shared" si="15"/>
        <v>2668.0078149502019</v>
      </c>
      <c r="K51" s="181">
        <f t="shared" si="0"/>
        <v>889.33593831673409</v>
      </c>
      <c r="L51" s="182" t="s">
        <v>21</v>
      </c>
      <c r="M51" s="169">
        <f>+pronostico!I50*20%</f>
        <v>3557.3437532669363</v>
      </c>
      <c r="N51" s="170">
        <f t="shared" si="2"/>
        <v>19778831.268164165</v>
      </c>
      <c r="O51" s="171">
        <f t="shared" si="3"/>
        <v>7911532.5072656665</v>
      </c>
      <c r="P51" s="183">
        <f t="shared" si="16"/>
        <v>1778.6718766334682</v>
      </c>
      <c r="Q51" s="184">
        <f t="shared" si="17"/>
        <v>1778.6718766334682</v>
      </c>
      <c r="R51" s="173">
        <f>+pronostico!I50*8%</f>
        <v>1422.9375013067745</v>
      </c>
      <c r="S51" s="174">
        <f t="shared" si="4"/>
        <v>7911532.5072656665</v>
      </c>
      <c r="T51" s="175">
        <f t="shared" si="5"/>
        <v>3164613.0029062666</v>
      </c>
      <c r="U51" s="173">
        <f>+pronostico!I50*8%</f>
        <v>1422.9375013067745</v>
      </c>
      <c r="V51" s="176">
        <f t="shared" si="24"/>
        <v>7911532.5072656665</v>
      </c>
      <c r="W51" s="177">
        <f t="shared" si="22"/>
        <v>3164613.0029062666</v>
      </c>
      <c r="X51" s="173">
        <f>+pronostico!I50*2%</f>
        <v>355.73437532669362</v>
      </c>
      <c r="Y51" s="178">
        <f t="shared" si="8"/>
        <v>1977883.1268164166</v>
      </c>
      <c r="Z51" s="178">
        <f t="shared" si="9"/>
        <v>791153.25072656665</v>
      </c>
      <c r="AA51" s="173">
        <f>+pronostico!I50*2%</f>
        <v>355.73437532669362</v>
      </c>
      <c r="AB51" s="179">
        <f t="shared" si="10"/>
        <v>1977883.1268164166</v>
      </c>
      <c r="AC51" s="180">
        <f t="shared" si="11"/>
        <v>791153.25072656665</v>
      </c>
      <c r="AD51" s="173">
        <f>+pronostico!I50*10%</f>
        <v>1778.6718766334682</v>
      </c>
      <c r="AE51" s="176">
        <f t="shared" si="23"/>
        <v>9889415.6340820827</v>
      </c>
      <c r="AF51" s="177">
        <f t="shared" si="23"/>
        <v>3955766.2536328332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5382604949.9369535</v>
      </c>
      <c r="H52" s="186">
        <f>SUM(H4:H51)</f>
        <v>2386549444.6317306</v>
      </c>
      <c r="I52" s="187"/>
      <c r="J52" s="188"/>
      <c r="K52" s="188"/>
      <c r="L52" s="189"/>
      <c r="M52" s="185"/>
      <c r="N52" s="277">
        <f>SUM(N4:N51)</f>
        <v>2153041979.9747815</v>
      </c>
      <c r="O52" s="190">
        <f>SUM(O4:O51)</f>
        <v>954619777.85269213</v>
      </c>
      <c r="P52" s="187"/>
      <c r="Q52" s="189"/>
      <c r="R52" s="185"/>
      <c r="S52" s="274">
        <f>SUM(S4:S51)</f>
        <v>861216791.98991251</v>
      </c>
      <c r="T52" s="191">
        <f>SUM(T4:T51)</f>
        <v>381847911.14107692</v>
      </c>
      <c r="U52" s="185"/>
      <c r="V52" s="274">
        <f>SUM(V4:V51)</f>
        <v>570996886.38991261</v>
      </c>
      <c r="W52" s="191">
        <f>SUM(W4:W51)</f>
        <v>249378345.22107688</v>
      </c>
      <c r="X52" s="185"/>
      <c r="Y52" s="274">
        <f>SUM(Y4:Y51)</f>
        <v>215304197.99747813</v>
      </c>
      <c r="Z52" s="192">
        <f>SUM(Z4:Z51)</f>
        <v>95461977.785269231</v>
      </c>
      <c r="AA52" s="193"/>
      <c r="AB52" s="274">
        <f>SUM(AB4:AB51)</f>
        <v>215304197.99747813</v>
      </c>
      <c r="AC52" s="194">
        <f>SUM(AC4:AC51)</f>
        <v>95461977.785269231</v>
      </c>
      <c r="AD52" s="193"/>
      <c r="AE52" s="274">
        <f>SUM(AE4:AE51)</f>
        <v>1076520989.9873908</v>
      </c>
      <c r="AF52" s="194">
        <f>SUM(AF4:AF51)</f>
        <v>477309888.92634606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1614781484.981086</v>
      </c>
      <c r="H53" s="272"/>
      <c r="I53" s="255"/>
      <c r="J53" s="254"/>
      <c r="K53" s="259"/>
      <c r="L53" s="256"/>
      <c r="M53" s="253"/>
      <c r="N53" s="278">
        <f>+N52*20%</f>
        <v>430608395.99495631</v>
      </c>
      <c r="O53" s="272"/>
      <c r="P53" s="260"/>
      <c r="Q53" s="261"/>
      <c r="R53" s="262"/>
      <c r="S53" s="275">
        <f>+S52*12%</f>
        <v>103346015.0387895</v>
      </c>
      <c r="T53" s="272"/>
      <c r="U53" s="283"/>
      <c r="V53" s="275">
        <f>+V52*12%</f>
        <v>68519626.366789505</v>
      </c>
      <c r="W53" s="272"/>
      <c r="X53" s="283"/>
      <c r="Y53" s="275"/>
      <c r="Z53" s="284"/>
      <c r="AA53" s="283"/>
      <c r="AB53" s="275">
        <f>+AB52*12%</f>
        <v>25836503.759697374</v>
      </c>
      <c r="AC53" s="272"/>
      <c r="AD53" s="283"/>
      <c r="AE53" s="275">
        <f>+AE52*12%</f>
        <v>129182518.79848689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3767823464.9558678</v>
      </c>
      <c r="H54" s="273"/>
      <c r="I54" s="268"/>
      <c r="J54" s="267"/>
      <c r="K54" s="267"/>
      <c r="L54" s="269"/>
      <c r="M54" s="266"/>
      <c r="N54" s="279">
        <f>+N52-N53</f>
        <v>1722433583.9798253</v>
      </c>
      <c r="O54" s="273"/>
      <c r="P54" s="268"/>
      <c r="Q54" s="269"/>
      <c r="R54" s="266"/>
      <c r="S54" s="276">
        <f>+S52-S53</f>
        <v>757870776.951123</v>
      </c>
      <c r="T54" s="273"/>
      <c r="U54" s="285"/>
      <c r="V54" s="276">
        <f>+V52-V53</f>
        <v>502477260.02312309</v>
      </c>
      <c r="W54" s="273"/>
      <c r="X54" s="285"/>
      <c r="Y54" s="276">
        <f>+Y52-Y53</f>
        <v>215304197.99747813</v>
      </c>
      <c r="Z54" s="286"/>
      <c r="AA54" s="285"/>
      <c r="AB54" s="276">
        <f>+AB52-AB53</f>
        <v>189467694.23778075</v>
      </c>
      <c r="AC54" s="273"/>
      <c r="AD54" s="285"/>
      <c r="AE54" s="276">
        <f>+AE52-AE53</f>
        <v>947338471.18890381</v>
      </c>
      <c r="AF54" s="273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786" t="s">
        <v>161</v>
      </c>
      <c r="G56" s="787"/>
      <c r="H56" s="788"/>
      <c r="M56" s="786" t="s">
        <v>160</v>
      </c>
      <c r="N56" s="787"/>
      <c r="O56" s="788"/>
      <c r="R56" s="786" t="s">
        <v>159</v>
      </c>
      <c r="S56" s="787"/>
      <c r="T56" s="788"/>
    </row>
    <row r="57" spans="1:32" x14ac:dyDescent="0.25">
      <c r="F57" s="3" t="s">
        <v>155</v>
      </c>
      <c r="G57" s="3"/>
      <c r="H57" s="271">
        <f>+G52</f>
        <v>5382604949.9369535</v>
      </c>
      <c r="M57" s="3" t="s">
        <v>155</v>
      </c>
      <c r="N57" s="3"/>
      <c r="O57" s="271">
        <f>+N52</f>
        <v>2153041979.9747815</v>
      </c>
      <c r="R57" s="3" t="s">
        <v>155</v>
      </c>
      <c r="S57" s="3"/>
      <c r="T57" s="271">
        <f>S52+V52+Y52+AB52+AE52</f>
        <v>2939343064.3621721</v>
      </c>
    </row>
    <row r="58" spans="1:32" x14ac:dyDescent="0.25">
      <c r="F58" s="3" t="s">
        <v>156</v>
      </c>
      <c r="G58" s="3"/>
      <c r="H58" s="271">
        <f>+G52-H52</f>
        <v>2996055505.305223</v>
      </c>
      <c r="M58" s="3" t="s">
        <v>156</v>
      </c>
      <c r="N58" s="3"/>
      <c r="O58" s="271">
        <f>+N52-O52</f>
        <v>1198422202.1220894</v>
      </c>
      <c r="R58" s="3" t="s">
        <v>156</v>
      </c>
      <c r="S58" s="3"/>
      <c r="T58" s="271">
        <f>T57-T59</f>
        <v>1639882963.5031338</v>
      </c>
    </row>
    <row r="59" spans="1:32" x14ac:dyDescent="0.25">
      <c r="F59" s="3" t="s">
        <v>157</v>
      </c>
      <c r="G59" s="3"/>
      <c r="H59" s="271">
        <f>+H52</f>
        <v>2386549444.6317306</v>
      </c>
      <c r="M59" s="3" t="s">
        <v>157</v>
      </c>
      <c r="N59" s="3"/>
      <c r="O59" s="271">
        <f>+O52</f>
        <v>954619777.85269213</v>
      </c>
      <c r="R59" s="3" t="s">
        <v>157</v>
      </c>
      <c r="S59" s="3"/>
      <c r="T59" s="271">
        <f>T52+W52+Z52+AC52+AF52</f>
        <v>1299460100.8590384</v>
      </c>
    </row>
    <row r="60" spans="1:32" x14ac:dyDescent="0.25">
      <c r="F60" s="3" t="s">
        <v>147</v>
      </c>
      <c r="G60" s="3"/>
      <c r="H60" s="271">
        <f>+G53</f>
        <v>1614781484.981086</v>
      </c>
      <c r="M60" s="3" t="s">
        <v>147</v>
      </c>
      <c r="N60" s="3"/>
      <c r="O60" s="271">
        <f>+N53</f>
        <v>430608395.99495631</v>
      </c>
      <c r="R60" s="3" t="s">
        <v>147</v>
      </c>
      <c r="S60" s="3"/>
      <c r="T60" s="271">
        <f>S53+V53+AB53+AE53</f>
        <v>326884663.96376324</v>
      </c>
    </row>
    <row r="61" spans="1:32" x14ac:dyDescent="0.25">
      <c r="F61" s="3" t="s">
        <v>158</v>
      </c>
      <c r="G61" s="3"/>
      <c r="H61" s="271">
        <f>+H59-H60</f>
        <v>771767959.65064454</v>
      </c>
      <c r="M61" s="3" t="s">
        <v>158</v>
      </c>
      <c r="N61" s="3"/>
      <c r="O61" s="271">
        <f>+O59-O60</f>
        <v>524011381.85773581</v>
      </c>
      <c r="R61" s="3" t="s">
        <v>158</v>
      </c>
      <c r="S61" s="3"/>
      <c r="T61" s="271">
        <f>+T59-T60</f>
        <v>972575436.89527512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M40" workbookViewId="0">
      <selection activeCell="F56" sqref="F56:H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customWidth="1"/>
    <col min="7" max="7" width="15.85546875" style="1" customWidth="1"/>
    <col min="8" max="8" width="20" style="1" customWidth="1"/>
    <col min="9" max="9" width="10" style="1" bestFit="1" customWidth="1"/>
    <col min="10" max="10" width="10.140625" style="1" bestFit="1" customWidth="1"/>
    <col min="11" max="11" width="11.5703125" style="1" bestFit="1" customWidth="1"/>
    <col min="12" max="12" width="15.28515625" style="1" bestFit="1" customWidth="1"/>
    <col min="13" max="13" width="13.7109375" style="1" customWidth="1"/>
    <col min="14" max="14" width="16.140625" style="1" customWidth="1"/>
    <col min="15" max="15" width="16.42578125" style="1" customWidth="1"/>
    <col min="16" max="17" width="11.57031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1.5703125" style="1" bestFit="1" customWidth="1"/>
    <col min="22" max="22" width="12.7109375" style="1" bestFit="1" customWidth="1"/>
    <col min="23" max="23" width="17.28515625" style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774" t="s">
        <v>154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AF1" s="776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+pronostico!J3*50%</f>
        <v>80424.543162579488</v>
      </c>
      <c r="G4" s="137">
        <f>F4*D4</f>
        <v>394884506.92826527</v>
      </c>
      <c r="H4" s="138">
        <f>G4*E4</f>
        <v>157953802.77130613</v>
      </c>
      <c r="I4" s="137">
        <f>+F4*50%</f>
        <v>40212.271581289744</v>
      </c>
      <c r="J4" s="139">
        <f>+F4*30%</f>
        <v>24127.362948773847</v>
      </c>
      <c r="K4" s="167">
        <f t="shared" ref="K4:K51" si="0">+F4*10%</f>
        <v>8042.4543162579494</v>
      </c>
      <c r="L4" s="168">
        <f t="shared" ref="L4:L18" si="1">+F4*10%</f>
        <v>8042.4543162579494</v>
      </c>
      <c r="M4" s="169">
        <f>+pronostico!J3*20%</f>
        <v>32169.817265031797</v>
      </c>
      <c r="N4" s="170">
        <f t="shared" ref="N4:N51" si="2">M4*D4</f>
        <v>157953802.77130613</v>
      </c>
      <c r="O4" s="171">
        <f t="shared" ref="O4:O51" si="3">N4*E4</f>
        <v>63181521.108522452</v>
      </c>
      <c r="P4" s="170">
        <f>+M4*50%</f>
        <v>16084.908632515899</v>
      </c>
      <c r="Q4" s="172">
        <f>+M4*50%</f>
        <v>16084.908632515899</v>
      </c>
      <c r="R4" s="173">
        <f>+pronostico!J3*8%</f>
        <v>12867.926906012719</v>
      </c>
      <c r="S4" s="174">
        <f t="shared" ref="S4:S51" si="4">R4*D4</f>
        <v>63181521.108522452</v>
      </c>
      <c r="T4" s="175">
        <f t="shared" ref="T4:T51" si="5">S4*E4</f>
        <v>25272608.443408981</v>
      </c>
      <c r="U4" s="173">
        <f>+pronostico!J3*8%</f>
        <v>12867.926906012719</v>
      </c>
      <c r="V4" s="176">
        <f t="shared" ref="V4:V35" si="6">U4*D4</f>
        <v>63181521.108522452</v>
      </c>
      <c r="W4" s="177">
        <f t="shared" ref="W4:W35" si="7">V4*E4</f>
        <v>25272608.443408981</v>
      </c>
      <c r="X4" s="173">
        <f>+pronostico!J3*2%</f>
        <v>3216.9817265031797</v>
      </c>
      <c r="Y4" s="178">
        <f t="shared" ref="Y4:Y51" si="8">X4*D4</f>
        <v>15795380.277130613</v>
      </c>
      <c r="Z4" s="178">
        <f t="shared" ref="Z4:Z51" si="9">Y4*E4</f>
        <v>6318152.1108522452</v>
      </c>
      <c r="AA4" s="173">
        <f>+pronostico!J3*2%</f>
        <v>3216.9817265031797</v>
      </c>
      <c r="AB4" s="176">
        <f t="shared" ref="AB4:AB51" si="10">AA4*D4</f>
        <v>15795380.277130613</v>
      </c>
      <c r="AC4" s="177">
        <f t="shared" ref="AC4:AC51" si="11">AB4*E4</f>
        <v>6318152.1108522452</v>
      </c>
      <c r="AD4" s="173">
        <f>+pronostico!J3*10%</f>
        <v>16084.908632515899</v>
      </c>
      <c r="AE4" s="176">
        <f>+AD4*D4</f>
        <v>78976901.385653064</v>
      </c>
      <c r="AF4" s="177">
        <f>+AE4*E4</f>
        <v>31590760.554261226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+pronostico!J4*50%</f>
        <v>56143.578847243778</v>
      </c>
      <c r="G5" s="137">
        <f t="shared" ref="G5:H51" si="13">F5*D5</f>
        <v>275664972.13996696</v>
      </c>
      <c r="H5" s="138">
        <f t="shared" si="13"/>
        <v>110265988.85598679</v>
      </c>
      <c r="I5" s="137">
        <f t="shared" ref="I5:I20" si="14">+F5*50%</f>
        <v>28071.789423621889</v>
      </c>
      <c r="J5" s="139">
        <f t="shared" ref="J5:J51" si="15">+F5*30%</f>
        <v>16843.073654173131</v>
      </c>
      <c r="K5" s="167">
        <f t="shared" si="0"/>
        <v>5614.357884724378</v>
      </c>
      <c r="L5" s="168">
        <f t="shared" si="1"/>
        <v>5614.357884724378</v>
      </c>
      <c r="M5" s="169">
        <f>+pronostico!J4*20%</f>
        <v>22457.431538897512</v>
      </c>
      <c r="N5" s="170">
        <f t="shared" si="2"/>
        <v>110265988.85598679</v>
      </c>
      <c r="O5" s="171">
        <f t="shared" si="3"/>
        <v>44106395.54239472</v>
      </c>
      <c r="P5" s="170">
        <f t="shared" ref="P5:P51" si="16">+M5*50%</f>
        <v>11228.715769448756</v>
      </c>
      <c r="Q5" s="172">
        <f t="shared" ref="Q5:Q51" si="17">+M5*50%</f>
        <v>11228.715769448756</v>
      </c>
      <c r="R5" s="173">
        <f>+pronostico!J4*8%</f>
        <v>8982.9726155590051</v>
      </c>
      <c r="S5" s="174">
        <f t="shared" si="4"/>
        <v>44106395.542394713</v>
      </c>
      <c r="T5" s="175">
        <f t="shared" si="5"/>
        <v>17642558.216957886</v>
      </c>
      <c r="U5" s="173">
        <f>+pronostico!J4*8%</f>
        <v>8982.9726155590051</v>
      </c>
      <c r="V5" s="176">
        <f t="shared" si="6"/>
        <v>44106395.542394713</v>
      </c>
      <c r="W5" s="177">
        <f t="shared" si="7"/>
        <v>17642558.216957886</v>
      </c>
      <c r="X5" s="173">
        <f>+pronostico!J4*2%</f>
        <v>2245.7431538897513</v>
      </c>
      <c r="Y5" s="178">
        <f t="shared" si="8"/>
        <v>11026598.885598678</v>
      </c>
      <c r="Z5" s="178">
        <f t="shared" si="9"/>
        <v>4410639.5542394714</v>
      </c>
      <c r="AA5" s="173">
        <f>+pronostico!J4*2%</f>
        <v>2245.7431538897513</v>
      </c>
      <c r="AB5" s="179">
        <f t="shared" si="10"/>
        <v>11026598.885598678</v>
      </c>
      <c r="AC5" s="180">
        <f t="shared" si="11"/>
        <v>4410639.5542394714</v>
      </c>
      <c r="AD5" s="173">
        <f>+pronostico!J4*10%</f>
        <v>11228.715769448756</v>
      </c>
      <c r="AE5" s="176">
        <f t="shared" ref="AE5:AF20" si="18">+AD5*D5</f>
        <v>55132994.427993394</v>
      </c>
      <c r="AF5" s="177">
        <f t="shared" si="18"/>
        <v>22053197.77119736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+pronostico!J5*50%</f>
        <v>16918.137916309857</v>
      </c>
      <c r="G6" s="137">
        <f t="shared" si="13"/>
        <v>101508827.49785915</v>
      </c>
      <c r="H6" s="138">
        <f t="shared" si="13"/>
        <v>40603530.99914366</v>
      </c>
      <c r="I6" s="137">
        <f t="shared" si="14"/>
        <v>8459.0689581549286</v>
      </c>
      <c r="J6" s="139">
        <f t="shared" si="15"/>
        <v>5075.4413748929574</v>
      </c>
      <c r="K6" s="167">
        <f t="shared" si="0"/>
        <v>1691.8137916309859</v>
      </c>
      <c r="L6" s="168">
        <f t="shared" si="1"/>
        <v>1691.8137916309859</v>
      </c>
      <c r="M6" s="169">
        <f>+pronostico!J5*20%</f>
        <v>6767.2551665239434</v>
      </c>
      <c r="N6" s="170">
        <f t="shared" si="2"/>
        <v>40603530.99914366</v>
      </c>
      <c r="O6" s="171">
        <f t="shared" si="3"/>
        <v>16241412.399657466</v>
      </c>
      <c r="P6" s="170">
        <f t="shared" si="16"/>
        <v>3383.6275832619717</v>
      </c>
      <c r="Q6" s="172">
        <f t="shared" si="17"/>
        <v>3383.6275832619717</v>
      </c>
      <c r="R6" s="173">
        <f>+pronostico!J5*8%</f>
        <v>2706.9020666095771</v>
      </c>
      <c r="S6" s="174">
        <f t="shared" si="4"/>
        <v>16241412.399657462</v>
      </c>
      <c r="T6" s="175">
        <f t="shared" si="5"/>
        <v>6496564.9598629847</v>
      </c>
      <c r="U6" s="173">
        <f>+pronostico!J5*8%</f>
        <v>2706.9020666095771</v>
      </c>
      <c r="V6" s="176">
        <f t="shared" si="6"/>
        <v>16241412.399657462</v>
      </c>
      <c r="W6" s="177">
        <f t="shared" si="7"/>
        <v>6496564.9598629847</v>
      </c>
      <c r="X6" s="173">
        <f>+pronostico!J5*2%</f>
        <v>676.72551665239428</v>
      </c>
      <c r="Y6" s="178">
        <f t="shared" si="8"/>
        <v>4060353.0999143654</v>
      </c>
      <c r="Z6" s="178">
        <f t="shared" si="9"/>
        <v>1624141.2399657462</v>
      </c>
      <c r="AA6" s="173">
        <f>+pronostico!J5*2%</f>
        <v>676.72551665239428</v>
      </c>
      <c r="AB6" s="179">
        <f t="shared" si="10"/>
        <v>4060353.0999143654</v>
      </c>
      <c r="AC6" s="180">
        <f t="shared" si="11"/>
        <v>1624141.2399657462</v>
      </c>
      <c r="AD6" s="173">
        <f>+pronostico!J5*10%</f>
        <v>3383.6275832619717</v>
      </c>
      <c r="AE6" s="176">
        <f t="shared" si="18"/>
        <v>20301765.49957183</v>
      </c>
      <c r="AF6" s="177">
        <f t="shared" si="18"/>
        <v>8120706.1998287328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+pronostico!J6*50%</f>
        <v>36830.531185805034</v>
      </c>
      <c r="G7" s="137">
        <f t="shared" si="13"/>
        <v>188940624.98317981</v>
      </c>
      <c r="H7" s="138">
        <f t="shared" si="13"/>
        <v>75576249.993271932</v>
      </c>
      <c r="I7" s="137">
        <f t="shared" si="14"/>
        <v>18415.265592902517</v>
      </c>
      <c r="J7" s="139">
        <f t="shared" si="15"/>
        <v>11049.159355741509</v>
      </c>
      <c r="K7" s="167">
        <f t="shared" si="0"/>
        <v>3683.0531185805035</v>
      </c>
      <c r="L7" s="168">
        <f t="shared" si="1"/>
        <v>3683.0531185805035</v>
      </c>
      <c r="M7" s="169">
        <f>+pronostico!J6*20%</f>
        <v>14732.212474322014</v>
      </c>
      <c r="N7" s="170">
        <f t="shared" si="2"/>
        <v>75576249.993271932</v>
      </c>
      <c r="O7" s="171">
        <f t="shared" si="3"/>
        <v>30230499.997308776</v>
      </c>
      <c r="P7" s="170">
        <f t="shared" si="16"/>
        <v>7366.1062371610069</v>
      </c>
      <c r="Q7" s="172">
        <f t="shared" si="17"/>
        <v>7366.1062371610069</v>
      </c>
      <c r="R7" s="173">
        <f>+pronostico!J6*8%</f>
        <v>5892.8849897288055</v>
      </c>
      <c r="S7" s="174">
        <f t="shared" si="4"/>
        <v>30230499.997308772</v>
      </c>
      <c r="T7" s="175">
        <f t="shared" si="5"/>
        <v>12092199.99892351</v>
      </c>
      <c r="U7" s="173">
        <f>+pronostico!J6*8%</f>
        <v>5892.8849897288055</v>
      </c>
      <c r="V7" s="176">
        <f t="shared" si="6"/>
        <v>30230499.997308772</v>
      </c>
      <c r="W7" s="177">
        <f t="shared" si="7"/>
        <v>12092199.99892351</v>
      </c>
      <c r="X7" s="173">
        <f>+pronostico!J6*2%</f>
        <v>1473.2212474322014</v>
      </c>
      <c r="Y7" s="178">
        <f t="shared" si="8"/>
        <v>7557624.999327193</v>
      </c>
      <c r="Z7" s="178">
        <f t="shared" si="9"/>
        <v>3023049.9997308776</v>
      </c>
      <c r="AA7" s="173">
        <f>+pronostico!J6*2%</f>
        <v>1473.2212474322014</v>
      </c>
      <c r="AB7" s="179">
        <f t="shared" si="10"/>
        <v>7557624.999327193</v>
      </c>
      <c r="AC7" s="180">
        <f t="shared" si="11"/>
        <v>3023049.9997308776</v>
      </c>
      <c r="AD7" s="173">
        <f>+pronostico!J6*10%</f>
        <v>7366.1062371610069</v>
      </c>
      <c r="AE7" s="176">
        <f t="shared" si="18"/>
        <v>37788124.996635966</v>
      </c>
      <c r="AF7" s="177">
        <f t="shared" si="18"/>
        <v>15115249.998654388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+pronostico!J7*50%</f>
        <v>23544.223565344877</v>
      </c>
      <c r="G8" s="137">
        <f t="shared" si="13"/>
        <v>201303111.4836987</v>
      </c>
      <c r="H8" s="138">
        <f t="shared" si="13"/>
        <v>80521244.593479484</v>
      </c>
      <c r="I8" s="137">
        <f t="shared" si="14"/>
        <v>11772.111782672438</v>
      </c>
      <c r="J8" s="139">
        <f t="shared" si="15"/>
        <v>7063.2670696034629</v>
      </c>
      <c r="K8" s="167">
        <f t="shared" si="0"/>
        <v>2354.4223565344878</v>
      </c>
      <c r="L8" s="168">
        <f t="shared" si="1"/>
        <v>2354.4223565344878</v>
      </c>
      <c r="M8" s="169">
        <f>+pronostico!J7*20%</f>
        <v>9417.6894261379512</v>
      </c>
      <c r="N8" s="170">
        <f t="shared" si="2"/>
        <v>80521244.593479484</v>
      </c>
      <c r="O8" s="171">
        <f t="shared" si="3"/>
        <v>32208497.837391794</v>
      </c>
      <c r="P8" s="170">
        <f t="shared" si="16"/>
        <v>4708.8447130689756</v>
      </c>
      <c r="Q8" s="172">
        <f t="shared" si="17"/>
        <v>4708.8447130689756</v>
      </c>
      <c r="R8" s="173">
        <f>+pronostico!J7*8%</f>
        <v>3767.0757704551802</v>
      </c>
      <c r="S8" s="174">
        <f t="shared" si="4"/>
        <v>32208497.83739179</v>
      </c>
      <c r="T8" s="175">
        <f t="shared" si="5"/>
        <v>12883399.134956717</v>
      </c>
      <c r="U8" s="173">
        <f>+pronostico!J7*8%</f>
        <v>3767.0757704551802</v>
      </c>
      <c r="V8" s="176">
        <f t="shared" si="6"/>
        <v>32208497.83739179</v>
      </c>
      <c r="W8" s="177">
        <f t="shared" si="7"/>
        <v>12883399.134956717</v>
      </c>
      <c r="X8" s="173">
        <f>+pronostico!J7*2%</f>
        <v>941.76894261379505</v>
      </c>
      <c r="Y8" s="178">
        <f t="shared" si="8"/>
        <v>8052124.4593479475</v>
      </c>
      <c r="Z8" s="178">
        <f t="shared" si="9"/>
        <v>3220849.7837391794</v>
      </c>
      <c r="AA8" s="173">
        <f>+pronostico!J7*2%</f>
        <v>941.76894261379505</v>
      </c>
      <c r="AB8" s="179">
        <f t="shared" si="10"/>
        <v>8052124.4593479475</v>
      </c>
      <c r="AC8" s="180">
        <f t="shared" si="11"/>
        <v>3220849.7837391794</v>
      </c>
      <c r="AD8" s="173">
        <f>+pronostico!J7*10%</f>
        <v>4708.8447130689756</v>
      </c>
      <c r="AE8" s="176">
        <f t="shared" si="18"/>
        <v>40260622.296739742</v>
      </c>
      <c r="AF8" s="177">
        <f t="shared" si="18"/>
        <v>16104248.918695897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+pronostico!J8*50%</f>
        <v>26080.877603661542</v>
      </c>
      <c r="G9" s="137">
        <f t="shared" si="13"/>
        <v>263416863.79698157</v>
      </c>
      <c r="H9" s="138">
        <f t="shared" si="13"/>
        <v>105366745.51879263</v>
      </c>
      <c r="I9" s="137">
        <f t="shared" si="14"/>
        <v>13040.438801830771</v>
      </c>
      <c r="J9" s="139">
        <f t="shared" si="15"/>
        <v>7824.2632810984624</v>
      </c>
      <c r="K9" s="167">
        <f t="shared" si="0"/>
        <v>2608.0877603661543</v>
      </c>
      <c r="L9" s="168">
        <f t="shared" si="1"/>
        <v>2608.0877603661543</v>
      </c>
      <c r="M9" s="169">
        <f>+pronostico!J8*20%</f>
        <v>10432.351041464617</v>
      </c>
      <c r="N9" s="170">
        <f t="shared" si="2"/>
        <v>105366745.51879263</v>
      </c>
      <c r="O9" s="171">
        <f t="shared" si="3"/>
        <v>42146698.207517058</v>
      </c>
      <c r="P9" s="170">
        <f t="shared" si="16"/>
        <v>5216.1755207323085</v>
      </c>
      <c r="Q9" s="172">
        <f t="shared" si="17"/>
        <v>5216.1755207323085</v>
      </c>
      <c r="R9" s="173">
        <f>+pronostico!J8*8%</f>
        <v>4172.9404165858468</v>
      </c>
      <c r="S9" s="174">
        <f t="shared" si="4"/>
        <v>42146698.20751705</v>
      </c>
      <c r="T9" s="175">
        <f t="shared" si="5"/>
        <v>16858679.283006821</v>
      </c>
      <c r="U9" s="173">
        <f>+pronostico!J8*8%</f>
        <v>4172.9404165858468</v>
      </c>
      <c r="V9" s="176">
        <f t="shared" si="6"/>
        <v>42146698.20751705</v>
      </c>
      <c r="W9" s="177">
        <f t="shared" si="7"/>
        <v>16858679.283006821</v>
      </c>
      <c r="X9" s="173">
        <f>+pronostico!J8*2%</f>
        <v>1043.2351041464617</v>
      </c>
      <c r="Y9" s="178">
        <f t="shared" si="8"/>
        <v>10536674.551879263</v>
      </c>
      <c r="Z9" s="178">
        <f t="shared" si="9"/>
        <v>4214669.8207517052</v>
      </c>
      <c r="AA9" s="173">
        <f>+pronostico!J8*2%</f>
        <v>1043.2351041464617</v>
      </c>
      <c r="AB9" s="179">
        <f t="shared" si="10"/>
        <v>10536674.551879263</v>
      </c>
      <c r="AC9" s="180">
        <f t="shared" si="11"/>
        <v>4214669.8207517052</v>
      </c>
      <c r="AD9" s="173">
        <f>+pronostico!J8*10%</f>
        <v>5216.1755207323085</v>
      </c>
      <c r="AE9" s="176">
        <f t="shared" si="18"/>
        <v>52683372.759396315</v>
      </c>
      <c r="AF9" s="177">
        <f t="shared" si="18"/>
        <v>21073349.103758529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+pronostico!J9*50%</f>
        <v>31855.986248109559</v>
      </c>
      <c r="G10" s="137">
        <f t="shared" si="13"/>
        <v>74543007.82057637</v>
      </c>
      <c r="H10" s="138">
        <f t="shared" si="13"/>
        <v>37271503.910288185</v>
      </c>
      <c r="I10" s="137">
        <f t="shared" si="14"/>
        <v>15927.993124054779</v>
      </c>
      <c r="J10" s="139">
        <f t="shared" si="15"/>
        <v>9556.795874432868</v>
      </c>
      <c r="K10" s="167">
        <f t="shared" si="0"/>
        <v>3185.5986248109562</v>
      </c>
      <c r="L10" s="168">
        <f t="shared" si="1"/>
        <v>3185.5986248109562</v>
      </c>
      <c r="M10" s="169">
        <f>+pronostico!J9*20%</f>
        <v>12742.394499243825</v>
      </c>
      <c r="N10" s="170">
        <f t="shared" si="2"/>
        <v>29817203.128230549</v>
      </c>
      <c r="O10" s="171">
        <f t="shared" si="3"/>
        <v>14908601.564115275</v>
      </c>
      <c r="P10" s="170">
        <f t="shared" si="16"/>
        <v>6371.1972496219123</v>
      </c>
      <c r="Q10" s="172">
        <f t="shared" si="17"/>
        <v>6371.1972496219123</v>
      </c>
      <c r="R10" s="173">
        <f>+pronostico!J9*8%</f>
        <v>5096.9577996975295</v>
      </c>
      <c r="S10" s="174">
        <f t="shared" si="4"/>
        <v>11926881.251292219</v>
      </c>
      <c r="T10" s="175">
        <f t="shared" si="5"/>
        <v>5963440.6256461097</v>
      </c>
      <c r="U10" s="173">
        <f>+pronostico!J9*8%</f>
        <v>5096.9577996975295</v>
      </c>
      <c r="V10" s="176">
        <f t="shared" si="6"/>
        <v>11926881.251292219</v>
      </c>
      <c r="W10" s="177">
        <f t="shared" si="7"/>
        <v>5963440.6256461097</v>
      </c>
      <c r="X10" s="173">
        <f>+pronostico!J9*2%</f>
        <v>1274.2394499243824</v>
      </c>
      <c r="Y10" s="178">
        <f t="shared" si="8"/>
        <v>2981720.3128230548</v>
      </c>
      <c r="Z10" s="178">
        <f t="shared" si="9"/>
        <v>1490860.1564115274</v>
      </c>
      <c r="AA10" s="173">
        <f>+pronostico!J9*2%</f>
        <v>1274.2394499243824</v>
      </c>
      <c r="AB10" s="179">
        <f t="shared" si="10"/>
        <v>2981720.3128230548</v>
      </c>
      <c r="AC10" s="180">
        <f t="shared" si="11"/>
        <v>1490860.1564115274</v>
      </c>
      <c r="AD10" s="173">
        <f>+pronostico!J9*10%</f>
        <v>6371.1972496219123</v>
      </c>
      <c r="AE10" s="176">
        <f t="shared" si="18"/>
        <v>14908601.564115275</v>
      </c>
      <c r="AF10" s="177">
        <f t="shared" si="18"/>
        <v>7454300.7820576373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+pronostico!J10*50%</f>
        <v>13462.570741083886</v>
      </c>
      <c r="G11" s="137">
        <f t="shared" si="13"/>
        <v>31502415.534136292</v>
      </c>
      <c r="H11" s="138">
        <f t="shared" si="13"/>
        <v>15751207.767068146</v>
      </c>
      <c r="I11" s="137">
        <f t="shared" si="14"/>
        <v>6731.2853705419429</v>
      </c>
      <c r="J11" s="139">
        <f t="shared" si="15"/>
        <v>4038.7712223251656</v>
      </c>
      <c r="K11" s="167">
        <f t="shared" si="0"/>
        <v>1346.2570741083887</v>
      </c>
      <c r="L11" s="168">
        <f t="shared" si="1"/>
        <v>1346.2570741083887</v>
      </c>
      <c r="M11" s="169">
        <f>+pronostico!J10*20%</f>
        <v>5385.0282964335547</v>
      </c>
      <c r="N11" s="170">
        <f t="shared" si="2"/>
        <v>12600966.213654518</v>
      </c>
      <c r="O11" s="171">
        <f t="shared" si="3"/>
        <v>6300483.1068272591</v>
      </c>
      <c r="P11" s="170">
        <f t="shared" si="16"/>
        <v>2692.5141482167774</v>
      </c>
      <c r="Q11" s="172">
        <f t="shared" si="17"/>
        <v>2692.5141482167774</v>
      </c>
      <c r="R11" s="173">
        <f>+pronostico!J10*8%</f>
        <v>2154.0113185734217</v>
      </c>
      <c r="S11" s="174">
        <f t="shared" si="4"/>
        <v>5040386.4854618069</v>
      </c>
      <c r="T11" s="175">
        <f t="shared" si="5"/>
        <v>2520193.2427309034</v>
      </c>
      <c r="U11" s="173">
        <f>+pronostico!J10*8%</f>
        <v>2154.0113185734217</v>
      </c>
      <c r="V11" s="176">
        <f t="shared" si="6"/>
        <v>5040386.4854618069</v>
      </c>
      <c r="W11" s="177">
        <f t="shared" si="7"/>
        <v>2520193.2427309034</v>
      </c>
      <c r="X11" s="173">
        <f>+pronostico!J10*2%</f>
        <v>538.50282964335543</v>
      </c>
      <c r="Y11" s="178">
        <f t="shared" si="8"/>
        <v>1260096.6213654517</v>
      </c>
      <c r="Z11" s="178">
        <f t="shared" si="9"/>
        <v>630048.31068272586</v>
      </c>
      <c r="AA11" s="173">
        <f>+pronostico!J10*2%</f>
        <v>538.50282964335543</v>
      </c>
      <c r="AB11" s="179">
        <f t="shared" si="10"/>
        <v>1260096.6213654517</v>
      </c>
      <c r="AC11" s="180">
        <f t="shared" si="11"/>
        <v>630048.31068272586</v>
      </c>
      <c r="AD11" s="173">
        <f>+pronostico!J10*10%</f>
        <v>2692.5141482167774</v>
      </c>
      <c r="AE11" s="176">
        <f t="shared" si="18"/>
        <v>6300483.1068272591</v>
      </c>
      <c r="AF11" s="177">
        <f t="shared" si="18"/>
        <v>3150241.5534136295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+pronostico!J11*50%</f>
        <v>53377.090235816322</v>
      </c>
      <c r="G12" s="137">
        <f t="shared" si="13"/>
        <v>119564682.12822856</v>
      </c>
      <c r="H12" s="138">
        <f t="shared" si="13"/>
        <v>59782341.06411428</v>
      </c>
      <c r="I12" s="137">
        <f t="shared" si="14"/>
        <v>26688.545117908161</v>
      </c>
      <c r="J12" s="139">
        <f t="shared" si="15"/>
        <v>16013.127070744897</v>
      </c>
      <c r="K12" s="167">
        <f t="shared" si="0"/>
        <v>5337.7090235816322</v>
      </c>
      <c r="L12" s="168">
        <f t="shared" si="1"/>
        <v>5337.7090235816322</v>
      </c>
      <c r="M12" s="169">
        <f>+pronostico!J11*20%</f>
        <v>21350.836094326529</v>
      </c>
      <c r="N12" s="170">
        <f t="shared" si="2"/>
        <v>47825872.851291426</v>
      </c>
      <c r="O12" s="171">
        <f t="shared" si="3"/>
        <v>23912936.425645713</v>
      </c>
      <c r="P12" s="170">
        <f t="shared" si="16"/>
        <v>10675.418047163264</v>
      </c>
      <c r="Q12" s="172">
        <f t="shared" si="17"/>
        <v>10675.418047163264</v>
      </c>
      <c r="R12" s="173">
        <f>+pronostico!J11*8%</f>
        <v>8540.3344377306112</v>
      </c>
      <c r="S12" s="174">
        <f t="shared" si="4"/>
        <v>19130349.140516568</v>
      </c>
      <c r="T12" s="175">
        <f t="shared" si="5"/>
        <v>9565174.570258284</v>
      </c>
      <c r="U12" s="173">
        <f>+pronostico!J11*8%</f>
        <v>8540.3344377306112</v>
      </c>
      <c r="V12" s="176">
        <f t="shared" si="6"/>
        <v>19130349.140516568</v>
      </c>
      <c r="W12" s="177">
        <f t="shared" si="7"/>
        <v>9565174.570258284</v>
      </c>
      <c r="X12" s="173">
        <f>+pronostico!J11*2%</f>
        <v>2135.0836094326528</v>
      </c>
      <c r="Y12" s="178">
        <f t="shared" si="8"/>
        <v>4782587.285129142</v>
      </c>
      <c r="Z12" s="178">
        <f t="shared" si="9"/>
        <v>2391293.642564571</v>
      </c>
      <c r="AA12" s="173">
        <f>+pronostico!J11*2%</f>
        <v>2135.0836094326528</v>
      </c>
      <c r="AB12" s="179">
        <f t="shared" si="10"/>
        <v>4782587.285129142</v>
      </c>
      <c r="AC12" s="180">
        <f t="shared" si="11"/>
        <v>2391293.642564571</v>
      </c>
      <c r="AD12" s="173">
        <f>+pronostico!J11*10%</f>
        <v>10675.418047163264</v>
      </c>
      <c r="AE12" s="176">
        <f t="shared" si="18"/>
        <v>23912936.425645713</v>
      </c>
      <c r="AF12" s="177">
        <f t="shared" si="18"/>
        <v>11956468.212822856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+pronostico!J12*50%</f>
        <v>43653.217279460048</v>
      </c>
      <c r="G13" s="137">
        <f t="shared" si="13"/>
        <v>100402399.74275811</v>
      </c>
      <c r="H13" s="138">
        <f t="shared" si="13"/>
        <v>50201199.871379055</v>
      </c>
      <c r="I13" s="137">
        <f t="shared" si="14"/>
        <v>21826.608639730024</v>
      </c>
      <c r="J13" s="139">
        <f t="shared" si="15"/>
        <v>13095.965183838014</v>
      </c>
      <c r="K13" s="167">
        <f t="shared" si="0"/>
        <v>4365.321727946005</v>
      </c>
      <c r="L13" s="168">
        <f t="shared" si="1"/>
        <v>4365.321727946005</v>
      </c>
      <c r="M13" s="169">
        <f>+pronostico!J12*20%</f>
        <v>17461.28691178402</v>
      </c>
      <c r="N13" s="170">
        <f t="shared" si="2"/>
        <v>40160959.897103243</v>
      </c>
      <c r="O13" s="171">
        <f t="shared" si="3"/>
        <v>20080479.948551621</v>
      </c>
      <c r="P13" s="170">
        <f t="shared" si="16"/>
        <v>8730.64345589201</v>
      </c>
      <c r="Q13" s="172">
        <f t="shared" si="17"/>
        <v>8730.64345589201</v>
      </c>
      <c r="R13" s="173">
        <f>+pronostico!J12*8%</f>
        <v>6984.5147647136082</v>
      </c>
      <c r="S13" s="174">
        <f t="shared" si="4"/>
        <v>16064383.9588413</v>
      </c>
      <c r="T13" s="175">
        <f t="shared" si="5"/>
        <v>8032191.9794206498</v>
      </c>
      <c r="U13" s="173">
        <f>+pronostico!J12*8%</f>
        <v>6984.5147647136082</v>
      </c>
      <c r="V13" s="176">
        <f t="shared" si="6"/>
        <v>16064383.9588413</v>
      </c>
      <c r="W13" s="177">
        <f t="shared" si="7"/>
        <v>8032191.9794206498</v>
      </c>
      <c r="X13" s="173">
        <f>+pronostico!J12*2%</f>
        <v>1746.1286911784021</v>
      </c>
      <c r="Y13" s="178">
        <f t="shared" si="8"/>
        <v>4016095.9897103249</v>
      </c>
      <c r="Z13" s="178">
        <f t="shared" si="9"/>
        <v>2008047.9948551625</v>
      </c>
      <c r="AA13" s="173">
        <f>+pronostico!J12*2%</f>
        <v>1746.1286911784021</v>
      </c>
      <c r="AB13" s="179">
        <f t="shared" si="10"/>
        <v>4016095.9897103249</v>
      </c>
      <c r="AC13" s="180">
        <f t="shared" si="11"/>
        <v>2008047.9948551625</v>
      </c>
      <c r="AD13" s="173">
        <f>+pronostico!J12*10%</f>
        <v>8730.64345589201</v>
      </c>
      <c r="AE13" s="176">
        <f t="shared" si="18"/>
        <v>20080479.948551621</v>
      </c>
      <c r="AF13" s="177">
        <f t="shared" si="18"/>
        <v>10040239.974275811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+pronostico!J13*50%</f>
        <v>28174.315973524022</v>
      </c>
      <c r="G14" s="137">
        <f t="shared" si="13"/>
        <v>35499638.126640268</v>
      </c>
      <c r="H14" s="138">
        <f t="shared" si="13"/>
        <v>17749819.063320134</v>
      </c>
      <c r="I14" s="137">
        <f t="shared" si="14"/>
        <v>14087.157986762011</v>
      </c>
      <c r="J14" s="139">
        <f t="shared" si="15"/>
        <v>8452.294792057206</v>
      </c>
      <c r="K14" s="167">
        <f t="shared" si="0"/>
        <v>2817.4315973524026</v>
      </c>
      <c r="L14" s="168">
        <f t="shared" si="1"/>
        <v>2817.4315973524026</v>
      </c>
      <c r="M14" s="169">
        <f>+pronostico!J13*20%</f>
        <v>11269.72638940961</v>
      </c>
      <c r="N14" s="170">
        <f t="shared" si="2"/>
        <v>14199855.250656109</v>
      </c>
      <c r="O14" s="171">
        <f t="shared" si="3"/>
        <v>7099927.6253280547</v>
      </c>
      <c r="P14" s="170">
        <f t="shared" si="16"/>
        <v>5634.8631947048052</v>
      </c>
      <c r="Q14" s="172">
        <f t="shared" si="17"/>
        <v>5634.8631947048052</v>
      </c>
      <c r="R14" s="173">
        <f>+pronostico!J13*8%</f>
        <v>4507.8905557638436</v>
      </c>
      <c r="S14" s="174">
        <f t="shared" si="4"/>
        <v>5679942.1002624426</v>
      </c>
      <c r="T14" s="175">
        <f t="shared" si="5"/>
        <v>2839971.0501312213</v>
      </c>
      <c r="U14" s="173">
        <f>+pronostico!J13*8%</f>
        <v>4507.8905557638436</v>
      </c>
      <c r="V14" s="176">
        <f t="shared" si="6"/>
        <v>5679942.1002624426</v>
      </c>
      <c r="W14" s="177">
        <f t="shared" si="7"/>
        <v>2839971.0501312213</v>
      </c>
      <c r="X14" s="173">
        <f>+pronostico!J13*2%</f>
        <v>1126.9726389409609</v>
      </c>
      <c r="Y14" s="178">
        <f t="shared" si="8"/>
        <v>1419985.5250656107</v>
      </c>
      <c r="Z14" s="178">
        <f t="shared" si="9"/>
        <v>709992.76253280533</v>
      </c>
      <c r="AA14" s="173">
        <f>+pronostico!J13*2%</f>
        <v>1126.9726389409609</v>
      </c>
      <c r="AB14" s="179">
        <f t="shared" si="10"/>
        <v>1419985.5250656107</v>
      </c>
      <c r="AC14" s="180">
        <f t="shared" si="11"/>
        <v>709992.76253280533</v>
      </c>
      <c r="AD14" s="173">
        <f>+pronostico!J13*10%</f>
        <v>5634.8631947048052</v>
      </c>
      <c r="AE14" s="176">
        <f t="shared" si="18"/>
        <v>7099927.6253280547</v>
      </c>
      <c r="AF14" s="177">
        <f t="shared" si="18"/>
        <v>3549963.8126640273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+pronostico!J14*50%</f>
        <v>22104.95730356485</v>
      </c>
      <c r="G15" s="137">
        <f t="shared" si="13"/>
        <v>27852246.202491712</v>
      </c>
      <c r="H15" s="138">
        <f t="shared" si="13"/>
        <v>13926123.101245856</v>
      </c>
      <c r="I15" s="137">
        <f t="shared" si="14"/>
        <v>11052.478651782425</v>
      </c>
      <c r="J15" s="139">
        <f t="shared" si="15"/>
        <v>6631.4871910694546</v>
      </c>
      <c r="K15" s="167">
        <f t="shared" si="0"/>
        <v>2210.4957303564852</v>
      </c>
      <c r="L15" s="168">
        <f t="shared" si="1"/>
        <v>2210.4957303564852</v>
      </c>
      <c r="M15" s="169">
        <f>+pronostico!J14*20%</f>
        <v>8841.9829214259407</v>
      </c>
      <c r="N15" s="170">
        <f t="shared" si="2"/>
        <v>11140898.480996685</v>
      </c>
      <c r="O15" s="171">
        <f t="shared" si="3"/>
        <v>5570449.2404983426</v>
      </c>
      <c r="P15" s="170">
        <f t="shared" si="16"/>
        <v>4420.9914607129704</v>
      </c>
      <c r="Q15" s="172">
        <f t="shared" si="17"/>
        <v>4420.9914607129704</v>
      </c>
      <c r="R15" s="173">
        <f>+pronostico!J14*8%</f>
        <v>3536.7931685703761</v>
      </c>
      <c r="S15" s="174">
        <f t="shared" si="4"/>
        <v>4456359.392398674</v>
      </c>
      <c r="T15" s="175">
        <f t="shared" si="5"/>
        <v>2228179.696199337</v>
      </c>
      <c r="U15" s="173">
        <f>+pronostico!J14*8%</f>
        <v>3536.7931685703761</v>
      </c>
      <c r="V15" s="176">
        <f t="shared" si="6"/>
        <v>4456359.392398674</v>
      </c>
      <c r="W15" s="177">
        <f t="shared" si="7"/>
        <v>2228179.696199337</v>
      </c>
      <c r="X15" s="173">
        <f>+pronostico!J14*2%</f>
        <v>884.19829214259403</v>
      </c>
      <c r="Y15" s="178">
        <f t="shared" si="8"/>
        <v>1114089.8480996685</v>
      </c>
      <c r="Z15" s="178">
        <f t="shared" si="9"/>
        <v>557044.92404983426</v>
      </c>
      <c r="AA15" s="173">
        <f>+pronostico!J14*2%</f>
        <v>884.19829214259403</v>
      </c>
      <c r="AB15" s="179">
        <f t="shared" si="10"/>
        <v>1114089.8480996685</v>
      </c>
      <c r="AC15" s="180">
        <f t="shared" si="11"/>
        <v>557044.92404983426</v>
      </c>
      <c r="AD15" s="173">
        <f>+pronostico!J14*10%</f>
        <v>4420.9914607129704</v>
      </c>
      <c r="AE15" s="176">
        <f t="shared" si="18"/>
        <v>5570449.2404983426</v>
      </c>
      <c r="AF15" s="177">
        <f t="shared" si="18"/>
        <v>2785224.6202491713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+pronostico!J15*50%</f>
        <v>32315.600972042001</v>
      </c>
      <c r="G16" s="137">
        <f t="shared" si="13"/>
        <v>87575278.634233817</v>
      </c>
      <c r="H16" s="138">
        <f t="shared" si="13"/>
        <v>43787639.317116909</v>
      </c>
      <c r="I16" s="137">
        <f t="shared" si="14"/>
        <v>16157.800486021</v>
      </c>
      <c r="J16" s="139">
        <f t="shared" si="15"/>
        <v>9694.6802916125998</v>
      </c>
      <c r="K16" s="167">
        <f t="shared" si="0"/>
        <v>3231.5600972042002</v>
      </c>
      <c r="L16" s="168">
        <f t="shared" si="1"/>
        <v>3231.5600972042002</v>
      </c>
      <c r="M16" s="169">
        <f>+pronostico!J15*20%</f>
        <v>12926.240388816801</v>
      </c>
      <c r="N16" s="170">
        <f t="shared" si="2"/>
        <v>35030111.453693531</v>
      </c>
      <c r="O16" s="171">
        <f t="shared" si="3"/>
        <v>17515055.726846766</v>
      </c>
      <c r="P16" s="170">
        <f t="shared" si="16"/>
        <v>6463.1201944084005</v>
      </c>
      <c r="Q16" s="172">
        <f t="shared" si="17"/>
        <v>6463.1201944084005</v>
      </c>
      <c r="R16" s="173">
        <f>+pronostico!J15*8%</f>
        <v>5170.49615552672</v>
      </c>
      <c r="S16" s="174">
        <f t="shared" si="4"/>
        <v>14012044.581477411</v>
      </c>
      <c r="T16" s="175">
        <f t="shared" si="5"/>
        <v>7006022.2907387055</v>
      </c>
      <c r="U16" s="173">
        <f>+pronostico!J15*8%</f>
        <v>5170.49615552672</v>
      </c>
      <c r="V16" s="176">
        <f t="shared" si="6"/>
        <v>14012044.581477411</v>
      </c>
      <c r="W16" s="177">
        <f t="shared" si="7"/>
        <v>7006022.2907387055</v>
      </c>
      <c r="X16" s="173">
        <f>+pronostico!J15*2%</f>
        <v>1292.62403888168</v>
      </c>
      <c r="Y16" s="178">
        <f t="shared" si="8"/>
        <v>3503011.1453693528</v>
      </c>
      <c r="Z16" s="178">
        <f t="shared" si="9"/>
        <v>1751505.5726846764</v>
      </c>
      <c r="AA16" s="173">
        <f>+pronostico!J15*2%</f>
        <v>1292.62403888168</v>
      </c>
      <c r="AB16" s="179">
        <f t="shared" si="10"/>
        <v>3503011.1453693528</v>
      </c>
      <c r="AC16" s="180">
        <f t="shared" si="11"/>
        <v>1751505.5726846764</v>
      </c>
      <c r="AD16" s="173">
        <f>+pronostico!J15*10%</f>
        <v>6463.1201944084005</v>
      </c>
      <c r="AE16" s="176">
        <f t="shared" si="18"/>
        <v>17515055.726846766</v>
      </c>
      <c r="AF16" s="177">
        <f t="shared" si="18"/>
        <v>8757527.8634233829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+pronostico!J16*50%</f>
        <v>31840.371545982533</v>
      </c>
      <c r="G17" s="137">
        <f t="shared" si="13"/>
        <v>47123749.888054147</v>
      </c>
      <c r="H17" s="138">
        <f t="shared" si="13"/>
        <v>23561874.944027074</v>
      </c>
      <c r="I17" s="137">
        <f t="shared" si="14"/>
        <v>15920.185772991266</v>
      </c>
      <c r="J17" s="139">
        <f t="shared" si="15"/>
        <v>9552.1114637947594</v>
      </c>
      <c r="K17" s="167">
        <f t="shared" si="0"/>
        <v>3184.0371545982534</v>
      </c>
      <c r="L17" s="168">
        <f t="shared" si="1"/>
        <v>3184.0371545982534</v>
      </c>
      <c r="M17" s="169">
        <f>+pronostico!J16*20%</f>
        <v>12736.148618393014</v>
      </c>
      <c r="N17" s="170">
        <f t="shared" si="2"/>
        <v>18849499.95522166</v>
      </c>
      <c r="O17" s="171">
        <f t="shared" si="3"/>
        <v>9424749.9776108302</v>
      </c>
      <c r="P17" s="170">
        <f t="shared" si="16"/>
        <v>6368.0743091965069</v>
      </c>
      <c r="Q17" s="172">
        <f t="shared" si="17"/>
        <v>6368.0743091965069</v>
      </c>
      <c r="R17" s="173">
        <f>+pronostico!J16*8%</f>
        <v>5094.4594473572051</v>
      </c>
      <c r="S17" s="174">
        <f t="shared" si="4"/>
        <v>7539799.9820886636</v>
      </c>
      <c r="T17" s="175">
        <f t="shared" si="5"/>
        <v>3769899.9910443318</v>
      </c>
      <c r="U17" s="173">
        <f>+pronostico!J16*8%</f>
        <v>5094.4594473572051</v>
      </c>
      <c r="V17" s="176">
        <f t="shared" si="6"/>
        <v>7539799.9820886636</v>
      </c>
      <c r="W17" s="177">
        <f t="shared" si="7"/>
        <v>3769899.9910443318</v>
      </c>
      <c r="X17" s="173">
        <f>+pronostico!J16*2%</f>
        <v>1273.6148618393013</v>
      </c>
      <c r="Y17" s="178">
        <f t="shared" si="8"/>
        <v>1884949.9955221659</v>
      </c>
      <c r="Z17" s="178">
        <f t="shared" si="9"/>
        <v>942474.99776108295</v>
      </c>
      <c r="AA17" s="173">
        <f>+pronostico!J16*2%</f>
        <v>1273.6148618393013</v>
      </c>
      <c r="AB17" s="179">
        <f t="shared" si="10"/>
        <v>1884949.9955221659</v>
      </c>
      <c r="AC17" s="180">
        <f t="shared" si="11"/>
        <v>942474.99776108295</v>
      </c>
      <c r="AD17" s="173">
        <f>+pronostico!J16*10%</f>
        <v>6368.0743091965069</v>
      </c>
      <c r="AE17" s="176">
        <f t="shared" si="18"/>
        <v>9424749.9776108302</v>
      </c>
      <c r="AF17" s="177">
        <f t="shared" si="18"/>
        <v>4712374.9888054151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+pronostico!J17*50%</f>
        <v>84449.300480000005</v>
      </c>
      <c r="G18" s="137">
        <f t="shared" si="13"/>
        <v>199300349.13280001</v>
      </c>
      <c r="H18" s="138">
        <f t="shared" si="13"/>
        <v>99650174.566400006</v>
      </c>
      <c r="I18" s="137">
        <f t="shared" si="14"/>
        <v>42224.650240000003</v>
      </c>
      <c r="J18" s="139">
        <f t="shared" si="15"/>
        <v>25334.790144000002</v>
      </c>
      <c r="K18" s="167">
        <f t="shared" si="0"/>
        <v>8444.9300480000002</v>
      </c>
      <c r="L18" s="168">
        <f t="shared" si="1"/>
        <v>8444.9300480000002</v>
      </c>
      <c r="M18" s="169">
        <f>+pronostico!J17*20%</f>
        <v>33779.720192000001</v>
      </c>
      <c r="N18" s="170">
        <f t="shared" si="2"/>
        <v>79720139.653119996</v>
      </c>
      <c r="O18" s="171">
        <f t="shared" si="3"/>
        <v>39860069.826559998</v>
      </c>
      <c r="P18" s="170">
        <f t="shared" si="16"/>
        <v>16889.860096</v>
      </c>
      <c r="Q18" s="172">
        <f t="shared" si="17"/>
        <v>16889.860096</v>
      </c>
      <c r="R18" s="173">
        <f>+pronostico!J17*8%</f>
        <v>13511.888076800002</v>
      </c>
      <c r="S18" s="174">
        <f t="shared" si="4"/>
        <v>31888055.861248005</v>
      </c>
      <c r="T18" s="175">
        <f t="shared" si="5"/>
        <v>15944027.930624003</v>
      </c>
      <c r="U18" s="173">
        <f>+pronostico!J17*8%</f>
        <v>13511.888076800002</v>
      </c>
      <c r="V18" s="176">
        <f t="shared" si="6"/>
        <v>31888055.861248005</v>
      </c>
      <c r="W18" s="177">
        <f t="shared" si="7"/>
        <v>15944027.930624003</v>
      </c>
      <c r="X18" s="173">
        <f>+pronostico!J17*2%</f>
        <v>3377.9720192000004</v>
      </c>
      <c r="Y18" s="178">
        <f t="shared" si="8"/>
        <v>7972013.9653120013</v>
      </c>
      <c r="Z18" s="178">
        <f t="shared" si="9"/>
        <v>3986006.9826560006</v>
      </c>
      <c r="AA18" s="173">
        <f>+pronostico!J17*2%</f>
        <v>3377.9720192000004</v>
      </c>
      <c r="AB18" s="179">
        <f t="shared" si="10"/>
        <v>7972013.9653120013</v>
      </c>
      <c r="AC18" s="180">
        <f t="shared" si="11"/>
        <v>3986006.9826560006</v>
      </c>
      <c r="AD18" s="173">
        <f>+pronostico!J17*10%</f>
        <v>16889.860096</v>
      </c>
      <c r="AE18" s="176">
        <f t="shared" si="18"/>
        <v>39860069.826559998</v>
      </c>
      <c r="AF18" s="177">
        <f t="shared" si="18"/>
        <v>19930034.913279999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+pronostico!J18*50%</f>
        <v>19717.140480000002</v>
      </c>
      <c r="G19" s="137">
        <f t="shared" si="13"/>
        <v>98585702.400000006</v>
      </c>
      <c r="H19" s="138">
        <f t="shared" si="13"/>
        <v>39434280.960000001</v>
      </c>
      <c r="I19" s="137">
        <f>+F19*60%</f>
        <v>11830.284288000001</v>
      </c>
      <c r="J19" s="139">
        <f t="shared" si="15"/>
        <v>5915.1421440000004</v>
      </c>
      <c r="K19" s="167">
        <f t="shared" si="0"/>
        <v>1971.7140480000003</v>
      </c>
      <c r="L19" s="168" t="s">
        <v>21</v>
      </c>
      <c r="M19" s="169">
        <f>+pronostico!J18*20%</f>
        <v>7886.8561920000011</v>
      </c>
      <c r="N19" s="170">
        <f t="shared" si="2"/>
        <v>39434280.960000008</v>
      </c>
      <c r="O19" s="171">
        <f t="shared" si="3"/>
        <v>15773712.384000003</v>
      </c>
      <c r="P19" s="170">
        <f t="shared" si="16"/>
        <v>3943.4280960000006</v>
      </c>
      <c r="Q19" s="172">
        <f t="shared" si="17"/>
        <v>3943.4280960000006</v>
      </c>
      <c r="R19" s="173">
        <f>+pronostico!J18*8%</f>
        <v>3154.7424768000005</v>
      </c>
      <c r="S19" s="174">
        <f t="shared" si="4"/>
        <v>15773712.384000003</v>
      </c>
      <c r="T19" s="175">
        <f t="shared" si="5"/>
        <v>6309484.9536000015</v>
      </c>
      <c r="U19" s="173">
        <f>+pronostico!J18*8%</f>
        <v>3154.7424768000005</v>
      </c>
      <c r="V19" s="176">
        <f t="shared" si="6"/>
        <v>15773712.384000003</v>
      </c>
      <c r="W19" s="177">
        <f t="shared" si="7"/>
        <v>6309484.9536000015</v>
      </c>
      <c r="X19" s="173">
        <f>+pronostico!J18*2%</f>
        <v>788.68561920000013</v>
      </c>
      <c r="Y19" s="178">
        <f t="shared" si="8"/>
        <v>3943428.0960000008</v>
      </c>
      <c r="Z19" s="178">
        <f t="shared" si="9"/>
        <v>1577371.2384000004</v>
      </c>
      <c r="AA19" s="173">
        <f>+pronostico!J18*2%</f>
        <v>788.68561920000013</v>
      </c>
      <c r="AB19" s="179">
        <f t="shared" si="10"/>
        <v>3943428.0960000008</v>
      </c>
      <c r="AC19" s="180">
        <f t="shared" si="11"/>
        <v>1577371.2384000004</v>
      </c>
      <c r="AD19" s="173">
        <f>+pronostico!J18*10%</f>
        <v>3943.4280960000006</v>
      </c>
      <c r="AE19" s="176">
        <f t="shared" si="18"/>
        <v>19717140.480000004</v>
      </c>
      <c r="AF19" s="177">
        <f t="shared" si="18"/>
        <v>7886856.1920000017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+pronostico!J19*50%</f>
        <v>14213.529600000002</v>
      </c>
      <c r="G20" s="137">
        <f t="shared" si="13"/>
        <v>51026571.264000006</v>
      </c>
      <c r="H20" s="138">
        <f t="shared" si="13"/>
        <v>20410628.505600005</v>
      </c>
      <c r="I20" s="137">
        <f t="shared" si="14"/>
        <v>7106.7648000000008</v>
      </c>
      <c r="J20" s="139">
        <f t="shared" si="15"/>
        <v>4264.0588800000005</v>
      </c>
      <c r="K20" s="167">
        <f t="shared" si="0"/>
        <v>1421.3529600000002</v>
      </c>
      <c r="L20" s="168">
        <f>+F20*10%</f>
        <v>1421.3529600000002</v>
      </c>
      <c r="M20" s="169">
        <f>+pronostico!J19*20%</f>
        <v>5685.4118400000007</v>
      </c>
      <c r="N20" s="170">
        <f t="shared" si="2"/>
        <v>20410628.505600002</v>
      </c>
      <c r="O20" s="171">
        <f t="shared" si="3"/>
        <v>8164251.4022400007</v>
      </c>
      <c r="P20" s="170">
        <f t="shared" si="16"/>
        <v>2842.7059200000003</v>
      </c>
      <c r="Q20" s="172">
        <f t="shared" si="17"/>
        <v>2842.7059200000003</v>
      </c>
      <c r="R20" s="173">
        <f>+pronostico!J19*8%</f>
        <v>2274.1647360000002</v>
      </c>
      <c r="S20" s="174">
        <f t="shared" si="4"/>
        <v>8164251.4022400007</v>
      </c>
      <c r="T20" s="175">
        <f t="shared" si="5"/>
        <v>3265700.5608960004</v>
      </c>
      <c r="U20" s="173">
        <f>+pronostico!J19*8%</f>
        <v>2274.1647360000002</v>
      </c>
      <c r="V20" s="176">
        <f t="shared" si="6"/>
        <v>8164251.4022400007</v>
      </c>
      <c r="W20" s="177">
        <f t="shared" si="7"/>
        <v>3265700.5608960004</v>
      </c>
      <c r="X20" s="173">
        <f>+pronostico!J19*2%</f>
        <v>568.54118400000004</v>
      </c>
      <c r="Y20" s="178">
        <f t="shared" si="8"/>
        <v>2041062.8505600002</v>
      </c>
      <c r="Z20" s="178">
        <f t="shared" si="9"/>
        <v>816425.14022400009</v>
      </c>
      <c r="AA20" s="173">
        <f>+pronostico!J19*2%</f>
        <v>568.54118400000004</v>
      </c>
      <c r="AB20" s="179">
        <f t="shared" si="10"/>
        <v>2041062.8505600002</v>
      </c>
      <c r="AC20" s="180">
        <f t="shared" si="11"/>
        <v>816425.14022400009</v>
      </c>
      <c r="AD20" s="173">
        <f>+pronostico!J19*10%</f>
        <v>2842.7059200000003</v>
      </c>
      <c r="AE20" s="176">
        <f t="shared" si="18"/>
        <v>10205314.252800001</v>
      </c>
      <c r="AF20" s="177">
        <f t="shared" si="18"/>
        <v>4082125.7011200003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+pronostico!J20*50%</f>
        <v>13552.435200000002</v>
      </c>
      <c r="G21" s="137">
        <f t="shared" si="13"/>
        <v>167101526.01600003</v>
      </c>
      <c r="H21" s="138">
        <f t="shared" si="13"/>
        <v>66840610.406400017</v>
      </c>
      <c r="I21" s="137">
        <f>+F21*60%</f>
        <v>8131.4611200000008</v>
      </c>
      <c r="J21" s="139">
        <f t="shared" si="15"/>
        <v>4065.7305600000004</v>
      </c>
      <c r="K21" s="167">
        <f t="shared" si="0"/>
        <v>1355.2435200000002</v>
      </c>
      <c r="L21" s="168" t="s">
        <v>21</v>
      </c>
      <c r="M21" s="169">
        <f>+pronostico!J20*20%</f>
        <v>5420.9740800000009</v>
      </c>
      <c r="N21" s="170">
        <f t="shared" si="2"/>
        <v>66840610.40640001</v>
      </c>
      <c r="O21" s="171">
        <f t="shared" si="3"/>
        <v>26736244.162560005</v>
      </c>
      <c r="P21" s="170">
        <f t="shared" si="16"/>
        <v>2710.4870400000004</v>
      </c>
      <c r="Q21" s="172">
        <f t="shared" si="17"/>
        <v>2710.4870400000004</v>
      </c>
      <c r="R21" s="173">
        <f>+pronostico!J20*8%</f>
        <v>2168.3896320000003</v>
      </c>
      <c r="S21" s="174">
        <f t="shared" si="4"/>
        <v>26736244.162560005</v>
      </c>
      <c r="T21" s="175">
        <f t="shared" si="5"/>
        <v>10694497.665024003</v>
      </c>
      <c r="U21" s="173">
        <f>+pronostico!J20*8%</f>
        <v>2168.3896320000003</v>
      </c>
      <c r="V21" s="176">
        <f t="shared" si="6"/>
        <v>26736244.162560005</v>
      </c>
      <c r="W21" s="177">
        <f t="shared" si="7"/>
        <v>10694497.665024003</v>
      </c>
      <c r="X21" s="173">
        <f>+pronostico!J20*2%</f>
        <v>542.09740800000009</v>
      </c>
      <c r="Y21" s="178">
        <f t="shared" si="8"/>
        <v>6684061.0406400012</v>
      </c>
      <c r="Z21" s="178">
        <f t="shared" si="9"/>
        <v>2673624.4162560008</v>
      </c>
      <c r="AA21" s="173">
        <f>+pronostico!J20*2%</f>
        <v>542.09740800000009</v>
      </c>
      <c r="AB21" s="179">
        <f t="shared" si="10"/>
        <v>6684061.0406400012</v>
      </c>
      <c r="AC21" s="180">
        <f t="shared" si="11"/>
        <v>2673624.4162560008</v>
      </c>
      <c r="AD21" s="173">
        <f>+pronostico!J20*10%</f>
        <v>2710.4870400000004</v>
      </c>
      <c r="AE21" s="176">
        <f t="shared" ref="AE21:AF36" si="20">+AD21*D21</f>
        <v>33420305.203200005</v>
      </c>
      <c r="AF21" s="177">
        <f t="shared" si="20"/>
        <v>13368122.081280002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+pronostico!J21*50%</f>
        <v>11883.171840000001</v>
      </c>
      <c r="G22" s="137">
        <f t="shared" si="13"/>
        <v>88886125.363200009</v>
      </c>
      <c r="H22" s="138">
        <f t="shared" si="13"/>
        <v>35554450.145280004</v>
      </c>
      <c r="I22" s="137">
        <f t="shared" ref="I22:I51" si="21">+F22*60%</f>
        <v>7129.903104</v>
      </c>
      <c r="J22" s="139">
        <f t="shared" si="15"/>
        <v>3564.951552</v>
      </c>
      <c r="K22" s="167">
        <f t="shared" si="0"/>
        <v>1188.3171840000002</v>
      </c>
      <c r="L22" s="168" t="s">
        <v>21</v>
      </c>
      <c r="M22" s="169">
        <f>+pronostico!J21*20%</f>
        <v>4753.2687360000009</v>
      </c>
      <c r="N22" s="170">
        <f t="shared" si="2"/>
        <v>35554450.145280004</v>
      </c>
      <c r="O22" s="171">
        <f t="shared" si="3"/>
        <v>14221780.058112003</v>
      </c>
      <c r="P22" s="170">
        <f t="shared" si="16"/>
        <v>2376.6343680000004</v>
      </c>
      <c r="Q22" s="172">
        <f t="shared" si="17"/>
        <v>2376.6343680000004</v>
      </c>
      <c r="R22" s="173">
        <f>+pronostico!J21*8%</f>
        <v>1901.3074944000002</v>
      </c>
      <c r="S22" s="174">
        <f t="shared" si="4"/>
        <v>14221780.058112001</v>
      </c>
      <c r="T22" s="175">
        <f t="shared" si="5"/>
        <v>5688712.023244801</v>
      </c>
      <c r="U22" s="173">
        <f>+pronostico!J21*8%</f>
        <v>1901.3074944000002</v>
      </c>
      <c r="V22" s="176">
        <f t="shared" si="6"/>
        <v>14221780.058112001</v>
      </c>
      <c r="W22" s="177">
        <f t="shared" si="7"/>
        <v>5688712.023244801</v>
      </c>
      <c r="X22" s="173">
        <f>+pronostico!J21*2%</f>
        <v>475.32687360000006</v>
      </c>
      <c r="Y22" s="178">
        <f t="shared" si="8"/>
        <v>3555445.0145280003</v>
      </c>
      <c r="Z22" s="178">
        <f t="shared" si="9"/>
        <v>1422178.0058112002</v>
      </c>
      <c r="AA22" s="173">
        <f>+pronostico!J21*2%</f>
        <v>475.32687360000006</v>
      </c>
      <c r="AB22" s="179">
        <f t="shared" si="10"/>
        <v>3555445.0145280003</v>
      </c>
      <c r="AC22" s="180">
        <f t="shared" si="11"/>
        <v>1422178.0058112002</v>
      </c>
      <c r="AD22" s="173">
        <f>+pronostico!J21*10%</f>
        <v>2376.6343680000004</v>
      </c>
      <c r="AE22" s="176">
        <f t="shared" si="20"/>
        <v>17777225.072640002</v>
      </c>
      <c r="AF22" s="177">
        <f t="shared" si="20"/>
        <v>7110890.0290560015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+pronostico!J22*50%</f>
        <v>8043.3152</v>
      </c>
      <c r="G23" s="137">
        <f t="shared" si="13"/>
        <v>32977592.32</v>
      </c>
      <c r="H23" s="138">
        <f t="shared" si="13"/>
        <v>13191036.928000001</v>
      </c>
      <c r="I23" s="137">
        <f t="shared" si="21"/>
        <v>4825.9891200000002</v>
      </c>
      <c r="J23" s="139">
        <f t="shared" si="15"/>
        <v>2412.9945600000001</v>
      </c>
      <c r="K23" s="167">
        <f t="shared" si="0"/>
        <v>804.33152000000007</v>
      </c>
      <c r="L23" s="168" t="s">
        <v>21</v>
      </c>
      <c r="M23" s="169">
        <f>+pronostico!J22*20%</f>
        <v>3217.3260800000003</v>
      </c>
      <c r="N23" s="170">
        <f t="shared" si="2"/>
        <v>13191036.928000001</v>
      </c>
      <c r="O23" s="171">
        <f t="shared" si="3"/>
        <v>5276414.7712000012</v>
      </c>
      <c r="P23" s="170">
        <f t="shared" si="16"/>
        <v>1608.6630400000001</v>
      </c>
      <c r="Q23" s="172">
        <f t="shared" si="17"/>
        <v>1608.6630400000001</v>
      </c>
      <c r="R23" s="173">
        <f>+pronostico!J22*8%</f>
        <v>1286.9304320000001</v>
      </c>
      <c r="S23" s="174">
        <f t="shared" si="4"/>
        <v>5276414.7712000003</v>
      </c>
      <c r="T23" s="175">
        <f t="shared" si="5"/>
        <v>2110565.9084800002</v>
      </c>
      <c r="U23" s="173">
        <f>+pronostico!J22*8%</f>
        <v>1286.9304320000001</v>
      </c>
      <c r="V23" s="176">
        <f t="shared" si="6"/>
        <v>5276414.7712000003</v>
      </c>
      <c r="W23" s="177">
        <f t="shared" si="7"/>
        <v>2110565.9084800002</v>
      </c>
      <c r="X23" s="173">
        <f>+pronostico!J22*2%</f>
        <v>321.73260800000003</v>
      </c>
      <c r="Y23" s="178">
        <f t="shared" si="8"/>
        <v>1319103.6928000001</v>
      </c>
      <c r="Z23" s="178">
        <f t="shared" si="9"/>
        <v>527641.47712000005</v>
      </c>
      <c r="AA23" s="173">
        <f>+pronostico!J22*2%</f>
        <v>321.73260800000003</v>
      </c>
      <c r="AB23" s="179">
        <f t="shared" si="10"/>
        <v>1319103.6928000001</v>
      </c>
      <c r="AC23" s="180">
        <f t="shared" si="11"/>
        <v>527641.47712000005</v>
      </c>
      <c r="AD23" s="173">
        <f>+pronostico!J22*10%</f>
        <v>1608.6630400000001</v>
      </c>
      <c r="AE23" s="176">
        <f t="shared" si="20"/>
        <v>6595518.4640000006</v>
      </c>
      <c r="AF23" s="177">
        <f t="shared" si="20"/>
        <v>2638207.3856000006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+pronostico!J23*50%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+pronostico!J23*20%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+pronostico!J23*8%</f>
        <v>2000</v>
      </c>
      <c r="S24" s="174">
        <f t="shared" si="4"/>
        <v>6600000</v>
      </c>
      <c r="T24" s="175">
        <f t="shared" si="5"/>
        <v>3300000</v>
      </c>
      <c r="U24" s="173">
        <f>+pronostico!J23*8%</f>
        <v>2000</v>
      </c>
      <c r="V24" s="176">
        <f t="shared" si="6"/>
        <v>6600000</v>
      </c>
      <c r="W24" s="177">
        <f t="shared" si="7"/>
        <v>3300000</v>
      </c>
      <c r="X24" s="173">
        <f>+pronostico!J23*2%</f>
        <v>500</v>
      </c>
      <c r="Y24" s="178">
        <f t="shared" si="8"/>
        <v>1650000</v>
      </c>
      <c r="Z24" s="178">
        <f t="shared" si="9"/>
        <v>825000</v>
      </c>
      <c r="AA24" s="173">
        <f>+pronostico!J23*2%</f>
        <v>500</v>
      </c>
      <c r="AB24" s="179">
        <f t="shared" si="10"/>
        <v>1650000</v>
      </c>
      <c r="AC24" s="180">
        <f t="shared" si="11"/>
        <v>825000</v>
      </c>
      <c r="AD24" s="173">
        <f>+pronostico!J23*10%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+pronostico!J24*50%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+pronostico!J24*20%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+pronostico!J24*8%</f>
        <v>2400</v>
      </c>
      <c r="S25" s="174">
        <f t="shared" si="4"/>
        <v>7200000</v>
      </c>
      <c r="T25" s="175">
        <f t="shared" si="5"/>
        <v>3600000</v>
      </c>
      <c r="U25" s="173">
        <f>+pronostico!J24*8%</f>
        <v>2400</v>
      </c>
      <c r="V25" s="176">
        <f t="shared" si="6"/>
        <v>7200000</v>
      </c>
      <c r="W25" s="177">
        <f t="shared" si="7"/>
        <v>3600000</v>
      </c>
      <c r="X25" s="173">
        <f>+pronostico!J24*2%</f>
        <v>600</v>
      </c>
      <c r="Y25" s="178">
        <f t="shared" si="8"/>
        <v>1800000</v>
      </c>
      <c r="Z25" s="178">
        <f t="shared" si="9"/>
        <v>900000</v>
      </c>
      <c r="AA25" s="173">
        <f>+pronostico!J24*2%</f>
        <v>600</v>
      </c>
      <c r="AB25" s="179">
        <f t="shared" si="10"/>
        <v>1800000</v>
      </c>
      <c r="AC25" s="180">
        <f t="shared" si="11"/>
        <v>900000</v>
      </c>
      <c r="AD25" s="173">
        <f>+pronostico!J24*10%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+pronostico!J25*50%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+pronostico!J25*20%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+pronostico!J25*8%</f>
        <v>3200</v>
      </c>
      <c r="S26" s="174">
        <f t="shared" si="4"/>
        <v>12160000</v>
      </c>
      <c r="T26" s="175">
        <f t="shared" si="5"/>
        <v>4864000</v>
      </c>
      <c r="U26" s="173">
        <f>+pronostico!J25*8%</f>
        <v>3200</v>
      </c>
      <c r="V26" s="176">
        <f t="shared" si="6"/>
        <v>12160000</v>
      </c>
      <c r="W26" s="177">
        <f t="shared" si="7"/>
        <v>4864000</v>
      </c>
      <c r="X26" s="173">
        <f>+pronostico!J25*2%</f>
        <v>800</v>
      </c>
      <c r="Y26" s="178">
        <f t="shared" si="8"/>
        <v>3040000</v>
      </c>
      <c r="Z26" s="178">
        <f t="shared" si="9"/>
        <v>1216000</v>
      </c>
      <c r="AA26" s="173">
        <f>+pronostico!J25*2%</f>
        <v>800</v>
      </c>
      <c r="AB26" s="179">
        <f t="shared" si="10"/>
        <v>3040000</v>
      </c>
      <c r="AC26" s="180">
        <f t="shared" si="11"/>
        <v>1216000</v>
      </c>
      <c r="AD26" s="173">
        <f>+pronostico!J25*10%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+pronostico!J26*50%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+pronostico!J26*20%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+pronostico!J26*8%</f>
        <v>4800</v>
      </c>
      <c r="S27" s="174">
        <f t="shared" si="4"/>
        <v>11040000</v>
      </c>
      <c r="T27" s="175">
        <f t="shared" si="5"/>
        <v>5520000</v>
      </c>
      <c r="U27" s="173">
        <f>+pronostico!J26*8%</f>
        <v>4800</v>
      </c>
      <c r="V27" s="176">
        <f t="shared" si="6"/>
        <v>11040000</v>
      </c>
      <c r="W27" s="177">
        <f t="shared" si="7"/>
        <v>5520000</v>
      </c>
      <c r="X27" s="173">
        <f>+pronostico!J26*2%</f>
        <v>1200</v>
      </c>
      <c r="Y27" s="178">
        <f t="shared" si="8"/>
        <v>2760000</v>
      </c>
      <c r="Z27" s="178">
        <f t="shared" si="9"/>
        <v>1380000</v>
      </c>
      <c r="AA27" s="173">
        <f>+pronostico!J26*2%</f>
        <v>1200</v>
      </c>
      <c r="AB27" s="179">
        <f t="shared" si="10"/>
        <v>2760000</v>
      </c>
      <c r="AC27" s="180">
        <f t="shared" si="11"/>
        <v>1380000</v>
      </c>
      <c r="AD27" s="173">
        <f>+pronostico!J26*10%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+pronostico!J27*50%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+pronostico!J27*20%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+pronostico!J27*8%</f>
        <v>2400</v>
      </c>
      <c r="S28" s="174">
        <f t="shared" si="4"/>
        <v>9360000</v>
      </c>
      <c r="T28" s="175">
        <f t="shared" si="5"/>
        <v>3744000</v>
      </c>
      <c r="U28" s="173">
        <f>+pronostico!J27*8%</f>
        <v>2400</v>
      </c>
      <c r="V28" s="176">
        <f t="shared" si="6"/>
        <v>9360000</v>
      </c>
      <c r="W28" s="177">
        <f t="shared" si="7"/>
        <v>3744000</v>
      </c>
      <c r="X28" s="173">
        <f>+pronostico!J27*2%</f>
        <v>600</v>
      </c>
      <c r="Y28" s="178">
        <f t="shared" si="8"/>
        <v>2340000</v>
      </c>
      <c r="Z28" s="178">
        <f t="shared" si="9"/>
        <v>936000</v>
      </c>
      <c r="AA28" s="173">
        <f>+pronostico!J27*2%</f>
        <v>600</v>
      </c>
      <c r="AB28" s="179">
        <f t="shared" si="10"/>
        <v>2340000</v>
      </c>
      <c r="AC28" s="180">
        <f t="shared" si="11"/>
        <v>936000</v>
      </c>
      <c r="AD28" s="173">
        <f>+pronostico!J27*10%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+pronostico!J28*50%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+pronostico!J28*20%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+pronostico!J28*8%</f>
        <v>5200</v>
      </c>
      <c r="S29" s="174">
        <f t="shared" si="4"/>
        <v>15600000</v>
      </c>
      <c r="T29" s="175">
        <f t="shared" si="5"/>
        <v>7800000</v>
      </c>
      <c r="U29" s="173">
        <f>+pronostico!J28*8%</f>
        <v>5200</v>
      </c>
      <c r="V29" s="176">
        <f t="shared" si="6"/>
        <v>15600000</v>
      </c>
      <c r="W29" s="177">
        <f t="shared" si="7"/>
        <v>7800000</v>
      </c>
      <c r="X29" s="173">
        <f>+pronostico!J28*2%</f>
        <v>1300</v>
      </c>
      <c r="Y29" s="178">
        <f t="shared" si="8"/>
        <v>3900000</v>
      </c>
      <c r="Z29" s="178">
        <f t="shared" si="9"/>
        <v>1950000</v>
      </c>
      <c r="AA29" s="173">
        <f>+pronostico!J28*2%</f>
        <v>1300</v>
      </c>
      <c r="AB29" s="179">
        <f t="shared" si="10"/>
        <v>3900000</v>
      </c>
      <c r="AC29" s="180">
        <f t="shared" si="11"/>
        <v>1950000</v>
      </c>
      <c r="AD29" s="173">
        <f>+pronostico!J28*10%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+pronostico!J29*50%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+pronostico!J29*20%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+pronostico!J29*8%</f>
        <v>2000</v>
      </c>
      <c r="S30" s="174">
        <f t="shared" si="4"/>
        <v>8200000</v>
      </c>
      <c r="T30" s="175">
        <f t="shared" si="5"/>
        <v>3280000</v>
      </c>
      <c r="U30" s="173">
        <f>+pronostico!J29*8%</f>
        <v>2000</v>
      </c>
      <c r="V30" s="176">
        <f t="shared" si="6"/>
        <v>8200000</v>
      </c>
      <c r="W30" s="177">
        <f t="shared" si="7"/>
        <v>3280000</v>
      </c>
      <c r="X30" s="173">
        <f>+pronostico!J29*2%</f>
        <v>500</v>
      </c>
      <c r="Y30" s="178">
        <f t="shared" si="8"/>
        <v>2050000</v>
      </c>
      <c r="Z30" s="178">
        <f t="shared" si="9"/>
        <v>820000</v>
      </c>
      <c r="AA30" s="173">
        <f>+pronostico!J29*2%</f>
        <v>500</v>
      </c>
      <c r="AB30" s="179">
        <f t="shared" si="10"/>
        <v>2050000</v>
      </c>
      <c r="AC30" s="180">
        <f t="shared" si="11"/>
        <v>820000</v>
      </c>
      <c r="AD30" s="173">
        <f>+pronostico!J29*10%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+pronostico!J30*50%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+pronostico!J30*20%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+pronostico!J30*8%</f>
        <v>2000</v>
      </c>
      <c r="S31" s="174">
        <f t="shared" si="4"/>
        <v>4700000</v>
      </c>
      <c r="T31" s="175">
        <f t="shared" si="5"/>
        <v>2350000</v>
      </c>
      <c r="U31" s="173">
        <f>+pronostico!J30*8%</f>
        <v>2000</v>
      </c>
      <c r="V31" s="176">
        <f t="shared" si="6"/>
        <v>4700000</v>
      </c>
      <c r="W31" s="177">
        <f t="shared" si="7"/>
        <v>2350000</v>
      </c>
      <c r="X31" s="173">
        <f>+pronostico!J30*2%</f>
        <v>500</v>
      </c>
      <c r="Y31" s="178">
        <f t="shared" si="8"/>
        <v>1175000</v>
      </c>
      <c r="Z31" s="178">
        <f t="shared" si="9"/>
        <v>587500</v>
      </c>
      <c r="AA31" s="173">
        <f>+pronostico!J30*2%</f>
        <v>500</v>
      </c>
      <c r="AB31" s="179">
        <f t="shared" si="10"/>
        <v>1175000</v>
      </c>
      <c r="AC31" s="180">
        <f t="shared" si="11"/>
        <v>587500</v>
      </c>
      <c r="AD31" s="173">
        <f>+pronostico!J30*10%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+pronostico!J31*50%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+pronostico!J31*20%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+pronostico!J31*8%</f>
        <v>1600</v>
      </c>
      <c r="S32" s="174">
        <f t="shared" si="4"/>
        <v>4800000</v>
      </c>
      <c r="T32" s="175">
        <f t="shared" si="5"/>
        <v>2400000</v>
      </c>
      <c r="U32" s="173">
        <f>+pronostico!J31*8%</f>
        <v>1600</v>
      </c>
      <c r="V32" s="176">
        <f t="shared" si="6"/>
        <v>4800000</v>
      </c>
      <c r="W32" s="177">
        <f t="shared" si="7"/>
        <v>2400000</v>
      </c>
      <c r="X32" s="173">
        <f>+pronostico!J31*2%</f>
        <v>400</v>
      </c>
      <c r="Y32" s="178">
        <f t="shared" si="8"/>
        <v>1200000</v>
      </c>
      <c r="Z32" s="178">
        <f t="shared" si="9"/>
        <v>600000</v>
      </c>
      <c r="AA32" s="173">
        <f>+pronostico!J31*2%</f>
        <v>400</v>
      </c>
      <c r="AB32" s="179">
        <f t="shared" si="10"/>
        <v>1200000</v>
      </c>
      <c r="AC32" s="180">
        <f t="shared" si="11"/>
        <v>600000</v>
      </c>
      <c r="AD32" s="173">
        <f>+pronostico!J31*10%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+pronostico!J32*50%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+pronostico!J32*20%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+pronostico!J32*8%</f>
        <v>1200</v>
      </c>
      <c r="S33" s="174">
        <f t="shared" si="4"/>
        <v>2760000</v>
      </c>
      <c r="T33" s="175">
        <f t="shared" si="5"/>
        <v>1380000</v>
      </c>
      <c r="U33" s="173">
        <f>+pronostico!J32*8%</f>
        <v>1200</v>
      </c>
      <c r="V33" s="176">
        <f t="shared" si="6"/>
        <v>2760000</v>
      </c>
      <c r="W33" s="177">
        <f t="shared" si="7"/>
        <v>1380000</v>
      </c>
      <c r="X33" s="173">
        <f>+pronostico!J32*2%</f>
        <v>300</v>
      </c>
      <c r="Y33" s="178">
        <f t="shared" si="8"/>
        <v>690000</v>
      </c>
      <c r="Z33" s="178">
        <f t="shared" si="9"/>
        <v>345000</v>
      </c>
      <c r="AA33" s="173">
        <f>+pronostico!J32*2%</f>
        <v>300</v>
      </c>
      <c r="AB33" s="179">
        <f t="shared" si="10"/>
        <v>690000</v>
      </c>
      <c r="AC33" s="180">
        <f t="shared" si="11"/>
        <v>345000</v>
      </c>
      <c r="AD33" s="173">
        <f>+pronostico!J32*10%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+pronostico!J33*50%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+pronostico!J33*20%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+pronostico!J33*8%</f>
        <v>1600</v>
      </c>
      <c r="S34" s="174">
        <f t="shared" si="4"/>
        <v>6080000</v>
      </c>
      <c r="T34" s="175">
        <f t="shared" si="5"/>
        <v>2432000</v>
      </c>
      <c r="U34" s="173">
        <f>+pronostico!J33*8%</f>
        <v>1600</v>
      </c>
      <c r="V34" s="176">
        <f t="shared" si="6"/>
        <v>6080000</v>
      </c>
      <c r="W34" s="177">
        <f t="shared" si="7"/>
        <v>2432000</v>
      </c>
      <c r="X34" s="173">
        <f>+pronostico!J33*2%</f>
        <v>400</v>
      </c>
      <c r="Y34" s="178">
        <f t="shared" si="8"/>
        <v>1520000</v>
      </c>
      <c r="Z34" s="178">
        <f t="shared" si="9"/>
        <v>608000</v>
      </c>
      <c r="AA34" s="173">
        <f>+pronostico!J33*2%</f>
        <v>400</v>
      </c>
      <c r="AB34" s="179">
        <f t="shared" si="10"/>
        <v>1520000</v>
      </c>
      <c r="AC34" s="180">
        <f t="shared" si="11"/>
        <v>608000</v>
      </c>
      <c r="AD34" s="173">
        <f>+pronostico!J33*10%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+pronostico!J34*50%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+pronostico!J34*20%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+pronostico!J34*8%</f>
        <v>1600</v>
      </c>
      <c r="S35" s="174">
        <f t="shared" si="4"/>
        <v>6400000</v>
      </c>
      <c r="T35" s="175">
        <f t="shared" si="5"/>
        <v>2560000</v>
      </c>
      <c r="U35" s="173">
        <f>+pronostico!J34*8%</f>
        <v>1600</v>
      </c>
      <c r="V35" s="176">
        <f t="shared" si="6"/>
        <v>6400000</v>
      </c>
      <c r="W35" s="177">
        <f t="shared" si="7"/>
        <v>2560000</v>
      </c>
      <c r="X35" s="173">
        <f>+pronostico!J34*2%</f>
        <v>400</v>
      </c>
      <c r="Y35" s="178">
        <f t="shared" si="8"/>
        <v>1600000</v>
      </c>
      <c r="Z35" s="178">
        <f t="shared" si="9"/>
        <v>640000</v>
      </c>
      <c r="AA35" s="173">
        <f>+pronostico!J34*2%</f>
        <v>400</v>
      </c>
      <c r="AB35" s="179">
        <f t="shared" si="10"/>
        <v>1600000</v>
      </c>
      <c r="AC35" s="180">
        <f t="shared" si="11"/>
        <v>640000</v>
      </c>
      <c r="AD35" s="173">
        <f>+pronostico!J34*10%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+pronostico!J35*50%</f>
        <v>139821.5</v>
      </c>
      <c r="G36" s="137">
        <f t="shared" si="13"/>
        <v>267059065</v>
      </c>
      <c r="H36" s="138">
        <f t="shared" si="13"/>
        <v>133529532.5</v>
      </c>
      <c r="I36" s="137">
        <f t="shared" si="21"/>
        <v>83892.9</v>
      </c>
      <c r="J36" s="139">
        <f t="shared" si="15"/>
        <v>41946.45</v>
      </c>
      <c r="K36" s="167">
        <f t="shared" si="0"/>
        <v>13982.150000000001</v>
      </c>
      <c r="L36" s="168" t="s">
        <v>21</v>
      </c>
      <c r="M36" s="169">
        <f>+pronostico!J35*20%</f>
        <v>55928.600000000006</v>
      </c>
      <c r="N36" s="170">
        <f t="shared" si="2"/>
        <v>106823626.00000001</v>
      </c>
      <c r="O36" s="171">
        <f t="shared" si="3"/>
        <v>53411813.000000007</v>
      </c>
      <c r="P36" s="170">
        <f t="shared" si="16"/>
        <v>27964.300000000003</v>
      </c>
      <c r="Q36" s="172">
        <f t="shared" si="17"/>
        <v>27964.300000000003</v>
      </c>
      <c r="R36" s="173">
        <f>+pronostico!J35*8%</f>
        <v>22371.439999999999</v>
      </c>
      <c r="S36" s="174">
        <f t="shared" si="4"/>
        <v>42729450.399999999</v>
      </c>
      <c r="T36" s="175">
        <f t="shared" si="5"/>
        <v>21364725.199999999</v>
      </c>
      <c r="U36" s="173">
        <f>+pronostico!J35*8%</f>
        <v>22371.439999999999</v>
      </c>
      <c r="V36" s="176">
        <v>0</v>
      </c>
      <c r="W36" s="177">
        <f t="shared" ref="W36:W51" si="22">V36*E36</f>
        <v>0</v>
      </c>
      <c r="X36" s="173">
        <f>+pronostico!J35*2%</f>
        <v>5592.86</v>
      </c>
      <c r="Y36" s="178">
        <f t="shared" si="8"/>
        <v>10682362.6</v>
      </c>
      <c r="Z36" s="178">
        <f t="shared" si="9"/>
        <v>5341181.3</v>
      </c>
      <c r="AA36" s="173">
        <f>+pronostico!J35*2%</f>
        <v>5592.86</v>
      </c>
      <c r="AB36" s="179">
        <f t="shared" si="10"/>
        <v>10682362.6</v>
      </c>
      <c r="AC36" s="180">
        <f t="shared" si="11"/>
        <v>5341181.3</v>
      </c>
      <c r="AD36" s="173">
        <f>+pronostico!J35*10%</f>
        <v>27964.300000000003</v>
      </c>
      <c r="AE36" s="176">
        <f t="shared" si="20"/>
        <v>53411813.000000007</v>
      </c>
      <c r="AF36" s="177">
        <f t="shared" si="20"/>
        <v>26705906.500000004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+pronostico!J36*50%</f>
        <v>130450.5</v>
      </c>
      <c r="G37" s="137">
        <f t="shared" si="13"/>
        <v>283077585</v>
      </c>
      <c r="H37" s="138">
        <f t="shared" si="13"/>
        <v>141538792.5</v>
      </c>
      <c r="I37" s="137">
        <f t="shared" si="21"/>
        <v>78270.3</v>
      </c>
      <c r="J37" s="139">
        <f t="shared" si="15"/>
        <v>39135.15</v>
      </c>
      <c r="K37" s="167">
        <f t="shared" si="0"/>
        <v>13045.050000000001</v>
      </c>
      <c r="L37" s="168" t="s">
        <v>21</v>
      </c>
      <c r="M37" s="169">
        <f>+pronostico!J36*20%</f>
        <v>52180.200000000004</v>
      </c>
      <c r="N37" s="170">
        <f t="shared" si="2"/>
        <v>113231034.00000001</v>
      </c>
      <c r="O37" s="171">
        <f t="shared" si="3"/>
        <v>56615517.000000007</v>
      </c>
      <c r="P37" s="170">
        <f t="shared" si="16"/>
        <v>26090.100000000002</v>
      </c>
      <c r="Q37" s="172">
        <f t="shared" si="17"/>
        <v>26090.100000000002</v>
      </c>
      <c r="R37" s="173">
        <f>+pronostico!J36*8%</f>
        <v>20872.080000000002</v>
      </c>
      <c r="S37" s="174">
        <f t="shared" si="4"/>
        <v>45292413.600000001</v>
      </c>
      <c r="T37" s="175">
        <f t="shared" si="5"/>
        <v>22646206.800000001</v>
      </c>
      <c r="U37" s="173">
        <f>+pronostico!J36*8%</f>
        <v>20872.080000000002</v>
      </c>
      <c r="V37" s="176">
        <v>0</v>
      </c>
      <c r="W37" s="177">
        <f t="shared" si="22"/>
        <v>0</v>
      </c>
      <c r="X37" s="173">
        <f>+pronostico!J36*2%</f>
        <v>5218.0200000000004</v>
      </c>
      <c r="Y37" s="178">
        <f t="shared" si="8"/>
        <v>11323103.4</v>
      </c>
      <c r="Z37" s="178">
        <f t="shared" si="9"/>
        <v>5661551.7000000002</v>
      </c>
      <c r="AA37" s="173">
        <f>+pronostico!J36*2%</f>
        <v>5218.0200000000004</v>
      </c>
      <c r="AB37" s="179">
        <f t="shared" si="10"/>
        <v>11323103.4</v>
      </c>
      <c r="AC37" s="180">
        <f t="shared" si="11"/>
        <v>5661551.7000000002</v>
      </c>
      <c r="AD37" s="173">
        <f>+pronostico!J36*10%</f>
        <v>26090.100000000002</v>
      </c>
      <c r="AE37" s="176">
        <f t="shared" ref="AE37:AF51" si="23">+AD37*D37</f>
        <v>56615517.000000007</v>
      </c>
      <c r="AF37" s="177">
        <f t="shared" si="23"/>
        <v>28307758.500000004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+pronostico!J37*50%</f>
        <v>104398</v>
      </c>
      <c r="G38" s="137">
        <f t="shared" si="13"/>
        <v>174344660</v>
      </c>
      <c r="H38" s="138">
        <f t="shared" si="13"/>
        <v>87172330</v>
      </c>
      <c r="I38" s="137">
        <f t="shared" si="21"/>
        <v>62638.799999999996</v>
      </c>
      <c r="J38" s="139">
        <f t="shared" si="15"/>
        <v>31319.399999999998</v>
      </c>
      <c r="K38" s="167">
        <f t="shared" si="0"/>
        <v>10439.800000000001</v>
      </c>
      <c r="L38" s="168" t="s">
        <v>21</v>
      </c>
      <c r="M38" s="169">
        <f>+pronostico!J37*20%</f>
        <v>41759.200000000004</v>
      </c>
      <c r="N38" s="170">
        <f t="shared" si="2"/>
        <v>69737864</v>
      </c>
      <c r="O38" s="171">
        <f t="shared" si="3"/>
        <v>34868932</v>
      </c>
      <c r="P38" s="170">
        <f t="shared" si="16"/>
        <v>20879.600000000002</v>
      </c>
      <c r="Q38" s="172">
        <f t="shared" si="17"/>
        <v>20879.600000000002</v>
      </c>
      <c r="R38" s="173">
        <f>+pronostico!J37*8%</f>
        <v>16703.68</v>
      </c>
      <c r="S38" s="174">
        <f t="shared" si="4"/>
        <v>27895145.600000001</v>
      </c>
      <c r="T38" s="175">
        <f t="shared" si="5"/>
        <v>13947572.800000001</v>
      </c>
      <c r="U38" s="173">
        <f>+pronostico!J37*8%</f>
        <v>16703.68</v>
      </c>
      <c r="V38" s="176">
        <v>0</v>
      </c>
      <c r="W38" s="177">
        <f t="shared" si="22"/>
        <v>0</v>
      </c>
      <c r="X38" s="173">
        <f>+pronostico!J37*2%</f>
        <v>4175.92</v>
      </c>
      <c r="Y38" s="178">
        <f t="shared" si="8"/>
        <v>6973786.4000000004</v>
      </c>
      <c r="Z38" s="178">
        <f t="shared" si="9"/>
        <v>3486893.2</v>
      </c>
      <c r="AA38" s="173">
        <f>+pronostico!J37*2%</f>
        <v>4175.92</v>
      </c>
      <c r="AB38" s="179">
        <f t="shared" si="10"/>
        <v>6973786.4000000004</v>
      </c>
      <c r="AC38" s="180">
        <f t="shared" si="11"/>
        <v>3486893.2</v>
      </c>
      <c r="AD38" s="173">
        <f>+pronostico!J37*10%</f>
        <v>20879.600000000002</v>
      </c>
      <c r="AE38" s="176">
        <f t="shared" si="23"/>
        <v>34868932</v>
      </c>
      <c r="AF38" s="177">
        <f t="shared" si="23"/>
        <v>17434466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+pronostico!J38*50%</f>
        <v>51565.5</v>
      </c>
      <c r="G39" s="137">
        <f t="shared" si="13"/>
        <v>52596810</v>
      </c>
      <c r="H39" s="138">
        <f t="shared" si="13"/>
        <v>26298405</v>
      </c>
      <c r="I39" s="137">
        <f t="shared" si="21"/>
        <v>30939.3</v>
      </c>
      <c r="J39" s="139">
        <f t="shared" si="15"/>
        <v>15469.65</v>
      </c>
      <c r="K39" s="167">
        <f t="shared" si="0"/>
        <v>5156.55</v>
      </c>
      <c r="L39" s="168" t="s">
        <v>21</v>
      </c>
      <c r="M39" s="169">
        <f>+pronostico!J38*20%</f>
        <v>20626.2</v>
      </c>
      <c r="N39" s="170">
        <f t="shared" si="2"/>
        <v>21038724</v>
      </c>
      <c r="O39" s="171">
        <f t="shared" si="3"/>
        <v>10519362</v>
      </c>
      <c r="P39" s="170">
        <f t="shared" si="16"/>
        <v>10313.1</v>
      </c>
      <c r="Q39" s="172">
        <f t="shared" si="17"/>
        <v>10313.1</v>
      </c>
      <c r="R39" s="173">
        <f>+pronostico!J38*8%</f>
        <v>8250.48</v>
      </c>
      <c r="S39" s="174">
        <f t="shared" si="4"/>
        <v>8415489.5999999996</v>
      </c>
      <c r="T39" s="175">
        <f t="shared" si="5"/>
        <v>4207744.8</v>
      </c>
      <c r="U39" s="173">
        <f>+pronostico!J38*8%</f>
        <v>8250.48</v>
      </c>
      <c r="V39" s="176">
        <v>0</v>
      </c>
      <c r="W39" s="177">
        <f t="shared" si="22"/>
        <v>0</v>
      </c>
      <c r="X39" s="173">
        <f>+pronostico!J38*2%</f>
        <v>2062.62</v>
      </c>
      <c r="Y39" s="178">
        <f t="shared" si="8"/>
        <v>2103872.4</v>
      </c>
      <c r="Z39" s="178">
        <f t="shared" si="9"/>
        <v>1051936.2</v>
      </c>
      <c r="AA39" s="173">
        <f>+pronostico!J38*2%</f>
        <v>2062.62</v>
      </c>
      <c r="AB39" s="179">
        <f t="shared" si="10"/>
        <v>2103872.4</v>
      </c>
      <c r="AC39" s="180">
        <f t="shared" si="11"/>
        <v>1051936.2</v>
      </c>
      <c r="AD39" s="173">
        <f>+pronostico!J38*10%</f>
        <v>10313.1</v>
      </c>
      <c r="AE39" s="176">
        <f t="shared" si="23"/>
        <v>10519362</v>
      </c>
      <c r="AF39" s="177">
        <f t="shared" si="23"/>
        <v>5259681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+pronostico!J39*50%</f>
        <v>57041.5</v>
      </c>
      <c r="G40" s="137">
        <f t="shared" si="13"/>
        <v>81569345</v>
      </c>
      <c r="H40" s="138">
        <f t="shared" si="13"/>
        <v>40784672.5</v>
      </c>
      <c r="I40" s="137">
        <f t="shared" si="21"/>
        <v>34224.9</v>
      </c>
      <c r="J40" s="139">
        <f t="shared" si="15"/>
        <v>17112.45</v>
      </c>
      <c r="K40" s="167">
        <f t="shared" si="0"/>
        <v>5704.1500000000005</v>
      </c>
      <c r="L40" s="168" t="s">
        <v>21</v>
      </c>
      <c r="M40" s="169">
        <f>+pronostico!J39*20%</f>
        <v>22816.600000000002</v>
      </c>
      <c r="N40" s="170">
        <f t="shared" si="2"/>
        <v>32627738.000000004</v>
      </c>
      <c r="O40" s="171">
        <f t="shared" si="3"/>
        <v>16313869.000000002</v>
      </c>
      <c r="P40" s="170">
        <f t="shared" si="16"/>
        <v>11408.300000000001</v>
      </c>
      <c r="Q40" s="172">
        <f t="shared" si="17"/>
        <v>11408.300000000001</v>
      </c>
      <c r="R40" s="173">
        <f>+pronostico!J39*8%</f>
        <v>9126.64</v>
      </c>
      <c r="S40" s="174">
        <f t="shared" si="4"/>
        <v>13051095.199999999</v>
      </c>
      <c r="T40" s="175">
        <f t="shared" si="5"/>
        <v>6525547.5999999996</v>
      </c>
      <c r="U40" s="173">
        <f>+pronostico!J39*8%</f>
        <v>9126.64</v>
      </c>
      <c r="V40" s="176">
        <v>0</v>
      </c>
      <c r="W40" s="177">
        <f t="shared" si="22"/>
        <v>0</v>
      </c>
      <c r="X40" s="173">
        <f>+pronostico!J39*2%</f>
        <v>2281.66</v>
      </c>
      <c r="Y40" s="178">
        <f t="shared" si="8"/>
        <v>3262773.8</v>
      </c>
      <c r="Z40" s="178">
        <f t="shared" si="9"/>
        <v>1631386.9</v>
      </c>
      <c r="AA40" s="173">
        <f>+pronostico!J39*2%</f>
        <v>2281.66</v>
      </c>
      <c r="AB40" s="179">
        <f t="shared" si="10"/>
        <v>3262773.8</v>
      </c>
      <c r="AC40" s="180">
        <f t="shared" si="11"/>
        <v>1631386.9</v>
      </c>
      <c r="AD40" s="173">
        <f>+pronostico!J39*10%</f>
        <v>11408.300000000001</v>
      </c>
      <c r="AE40" s="176">
        <f t="shared" si="23"/>
        <v>16313869.000000002</v>
      </c>
      <c r="AF40" s="177">
        <f t="shared" si="23"/>
        <v>8156934.5000000009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+pronostico!J40*50%</f>
        <v>47505</v>
      </c>
      <c r="G41" s="137">
        <f t="shared" si="13"/>
        <v>629916300</v>
      </c>
      <c r="H41" s="138">
        <f t="shared" si="13"/>
        <v>251966520</v>
      </c>
      <c r="I41" s="137">
        <f t="shared" si="21"/>
        <v>28503</v>
      </c>
      <c r="J41" s="139">
        <f t="shared" si="15"/>
        <v>14251.5</v>
      </c>
      <c r="K41" s="167">
        <f t="shared" si="0"/>
        <v>4750.5</v>
      </c>
      <c r="L41" s="168" t="s">
        <v>21</v>
      </c>
      <c r="M41" s="169">
        <f>+pronostico!J40*20%</f>
        <v>19002</v>
      </c>
      <c r="N41" s="170">
        <f t="shared" si="2"/>
        <v>251966520</v>
      </c>
      <c r="O41" s="171">
        <f t="shared" si="3"/>
        <v>100786608</v>
      </c>
      <c r="P41" s="170">
        <f t="shared" si="16"/>
        <v>9501</v>
      </c>
      <c r="Q41" s="172">
        <f t="shared" si="17"/>
        <v>9501</v>
      </c>
      <c r="R41" s="173">
        <f>+pronostico!J40*8%</f>
        <v>7600.8</v>
      </c>
      <c r="S41" s="174">
        <f t="shared" si="4"/>
        <v>100786608</v>
      </c>
      <c r="T41" s="175">
        <f t="shared" si="5"/>
        <v>40314643.200000003</v>
      </c>
      <c r="U41" s="173">
        <f>+pronostico!J40*8%</f>
        <v>7600.8</v>
      </c>
      <c r="V41" s="176">
        <v>0</v>
      </c>
      <c r="W41" s="177">
        <f t="shared" si="22"/>
        <v>0</v>
      </c>
      <c r="X41" s="173">
        <f>+pronostico!J40*2%</f>
        <v>1900.2</v>
      </c>
      <c r="Y41" s="178">
        <f t="shared" si="8"/>
        <v>25196652</v>
      </c>
      <c r="Z41" s="178">
        <f t="shared" si="9"/>
        <v>10078660.800000001</v>
      </c>
      <c r="AA41" s="173">
        <f>+pronostico!J40*2%</f>
        <v>1900.2</v>
      </c>
      <c r="AB41" s="179">
        <f t="shared" si="10"/>
        <v>25196652</v>
      </c>
      <c r="AC41" s="180">
        <f t="shared" si="11"/>
        <v>10078660.800000001</v>
      </c>
      <c r="AD41" s="173">
        <f>+pronostico!J40*10%</f>
        <v>9501</v>
      </c>
      <c r="AE41" s="176">
        <f t="shared" si="23"/>
        <v>125983260</v>
      </c>
      <c r="AF41" s="177">
        <f t="shared" si="23"/>
        <v>50393304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+pronostico!J41*50%</f>
        <v>26388.5</v>
      </c>
      <c r="G42" s="137">
        <f t="shared" si="13"/>
        <v>74943340</v>
      </c>
      <c r="H42" s="138">
        <f t="shared" si="13"/>
        <v>37471670</v>
      </c>
      <c r="I42" s="137">
        <f t="shared" si="21"/>
        <v>15833.099999999999</v>
      </c>
      <c r="J42" s="139">
        <f t="shared" si="15"/>
        <v>7916.5499999999993</v>
      </c>
      <c r="K42" s="167">
        <f t="shared" si="0"/>
        <v>2638.8500000000004</v>
      </c>
      <c r="L42" s="168" t="s">
        <v>21</v>
      </c>
      <c r="M42" s="169">
        <f>+pronostico!J41*20%</f>
        <v>10555.400000000001</v>
      </c>
      <c r="N42" s="170">
        <f t="shared" si="2"/>
        <v>29977336.000000004</v>
      </c>
      <c r="O42" s="171">
        <f t="shared" si="3"/>
        <v>14988668.000000002</v>
      </c>
      <c r="P42" s="170">
        <f t="shared" si="16"/>
        <v>5277.7000000000007</v>
      </c>
      <c r="Q42" s="172">
        <f t="shared" si="17"/>
        <v>5277.7000000000007</v>
      </c>
      <c r="R42" s="173">
        <f>+pronostico!J41*8%</f>
        <v>4222.16</v>
      </c>
      <c r="S42" s="174">
        <f t="shared" si="4"/>
        <v>11990934.4</v>
      </c>
      <c r="T42" s="175">
        <f t="shared" si="5"/>
        <v>5995467.2000000002</v>
      </c>
      <c r="U42" s="173">
        <f>+pronostico!J41*8%</f>
        <v>4222.16</v>
      </c>
      <c r="V42" s="176">
        <v>0</v>
      </c>
      <c r="W42" s="177">
        <f t="shared" si="22"/>
        <v>0</v>
      </c>
      <c r="X42" s="173">
        <f>+pronostico!J41*2%</f>
        <v>1055.54</v>
      </c>
      <c r="Y42" s="178">
        <f t="shared" si="8"/>
        <v>2997733.6</v>
      </c>
      <c r="Z42" s="178">
        <f t="shared" si="9"/>
        <v>1498866.8</v>
      </c>
      <c r="AA42" s="173">
        <f>+pronostico!J41*2%</f>
        <v>1055.54</v>
      </c>
      <c r="AB42" s="179">
        <f t="shared" si="10"/>
        <v>2997733.6</v>
      </c>
      <c r="AC42" s="180">
        <f t="shared" si="11"/>
        <v>1498866.8</v>
      </c>
      <c r="AD42" s="173">
        <f>+pronostico!J41*10%</f>
        <v>5277.7000000000007</v>
      </c>
      <c r="AE42" s="176">
        <f t="shared" si="23"/>
        <v>14988668.000000002</v>
      </c>
      <c r="AF42" s="177">
        <f t="shared" si="23"/>
        <v>7494334.0000000009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+pronostico!J42*50%</f>
        <v>23805</v>
      </c>
      <c r="G43" s="137">
        <f t="shared" si="13"/>
        <v>90459000</v>
      </c>
      <c r="H43" s="138">
        <f t="shared" si="13"/>
        <v>36183600</v>
      </c>
      <c r="I43" s="137">
        <f t="shared" si="21"/>
        <v>14283</v>
      </c>
      <c r="J43" s="139">
        <f t="shared" si="15"/>
        <v>7141.5</v>
      </c>
      <c r="K43" s="167">
        <f t="shared" si="0"/>
        <v>2380.5</v>
      </c>
      <c r="L43" s="168" t="s">
        <v>21</v>
      </c>
      <c r="M43" s="169">
        <f>+pronostico!J42*20%</f>
        <v>9522</v>
      </c>
      <c r="N43" s="170">
        <f t="shared" si="2"/>
        <v>36183600</v>
      </c>
      <c r="O43" s="171">
        <f t="shared" si="3"/>
        <v>14473440</v>
      </c>
      <c r="P43" s="170">
        <f t="shared" si="16"/>
        <v>4761</v>
      </c>
      <c r="Q43" s="172">
        <f t="shared" si="17"/>
        <v>4761</v>
      </c>
      <c r="R43" s="173">
        <f>+pronostico!J42*8%</f>
        <v>3808.8</v>
      </c>
      <c r="S43" s="174">
        <f t="shared" si="4"/>
        <v>14473440</v>
      </c>
      <c r="T43" s="175">
        <f t="shared" si="5"/>
        <v>5789376</v>
      </c>
      <c r="U43" s="173">
        <f>+pronostico!J42*8%</f>
        <v>3808.8</v>
      </c>
      <c r="V43" s="176">
        <v>0</v>
      </c>
      <c r="W43" s="177">
        <f t="shared" si="22"/>
        <v>0</v>
      </c>
      <c r="X43" s="173">
        <f>+pronostico!J42*2%</f>
        <v>952.2</v>
      </c>
      <c r="Y43" s="178">
        <f t="shared" si="8"/>
        <v>3618360</v>
      </c>
      <c r="Z43" s="178">
        <f t="shared" si="9"/>
        <v>1447344</v>
      </c>
      <c r="AA43" s="173">
        <f>+pronostico!J42*2%</f>
        <v>952.2</v>
      </c>
      <c r="AB43" s="179">
        <f t="shared" si="10"/>
        <v>3618360</v>
      </c>
      <c r="AC43" s="180">
        <f t="shared" si="11"/>
        <v>1447344</v>
      </c>
      <c r="AD43" s="173">
        <f>+pronostico!J42*10%</f>
        <v>4761</v>
      </c>
      <c r="AE43" s="176">
        <f t="shared" si="23"/>
        <v>18091800</v>
      </c>
      <c r="AF43" s="177">
        <f t="shared" si="23"/>
        <v>7236720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+pronostico!J43*50%</f>
        <v>26324.62259777814</v>
      </c>
      <c r="G44" s="137">
        <f t="shared" si="13"/>
        <v>90556701.736356795</v>
      </c>
      <c r="H44" s="138">
        <f t="shared" si="13"/>
        <v>45278350.868178397</v>
      </c>
      <c r="I44" s="137">
        <f t="shared" si="21"/>
        <v>15794.773558666882</v>
      </c>
      <c r="J44" s="139">
        <f t="shared" si="15"/>
        <v>7897.3867793334412</v>
      </c>
      <c r="K44" s="167">
        <f t="shared" si="0"/>
        <v>2632.4622597778143</v>
      </c>
      <c r="L44" s="168" t="s">
        <v>21</v>
      </c>
      <c r="M44" s="169">
        <f>+pronostico!J43*20%</f>
        <v>10529.849039111257</v>
      </c>
      <c r="N44" s="170">
        <f t="shared" si="2"/>
        <v>36222680.694542728</v>
      </c>
      <c r="O44" s="171">
        <f t="shared" si="3"/>
        <v>18111340.347271364</v>
      </c>
      <c r="P44" s="170">
        <f t="shared" si="16"/>
        <v>5264.9245195556286</v>
      </c>
      <c r="Q44" s="172">
        <f t="shared" si="17"/>
        <v>5264.9245195556286</v>
      </c>
      <c r="R44" s="173">
        <f>+pronostico!J43*8%</f>
        <v>4211.9396156445027</v>
      </c>
      <c r="S44" s="174">
        <f t="shared" si="4"/>
        <v>14489072.277817089</v>
      </c>
      <c r="T44" s="175">
        <f t="shared" si="5"/>
        <v>7244536.1389085446</v>
      </c>
      <c r="U44" s="173">
        <f>+pronostico!J43*8%</f>
        <v>4211.9396156445027</v>
      </c>
      <c r="V44" s="176">
        <f t="shared" ref="V44:V51" si="24">U44*D44</f>
        <v>14489072.277817089</v>
      </c>
      <c r="W44" s="177">
        <f t="shared" si="22"/>
        <v>7244536.1389085446</v>
      </c>
      <c r="X44" s="173">
        <f>+pronostico!J43*2%</f>
        <v>1052.9849039111257</v>
      </c>
      <c r="Y44" s="178">
        <f t="shared" si="8"/>
        <v>3622268.0694542723</v>
      </c>
      <c r="Z44" s="178">
        <f t="shared" si="9"/>
        <v>1811134.0347271361</v>
      </c>
      <c r="AA44" s="173">
        <f>+pronostico!J43*2%</f>
        <v>1052.9849039111257</v>
      </c>
      <c r="AB44" s="179">
        <f t="shared" si="10"/>
        <v>3622268.0694542723</v>
      </c>
      <c r="AC44" s="180">
        <f t="shared" si="11"/>
        <v>1811134.0347271361</v>
      </c>
      <c r="AD44" s="173">
        <f>+pronostico!J43*10%</f>
        <v>5264.9245195556286</v>
      </c>
      <c r="AE44" s="176">
        <f t="shared" si="23"/>
        <v>18111340.347271364</v>
      </c>
      <c r="AF44" s="177">
        <f t="shared" si="23"/>
        <v>9055670.1736356821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+pronostico!J44*50%</f>
        <v>30926.356111014433</v>
      </c>
      <c r="G45" s="137">
        <f t="shared" si="13"/>
        <v>63708293.58868973</v>
      </c>
      <c r="H45" s="138">
        <f t="shared" si="13"/>
        <v>31854146.794344865</v>
      </c>
      <c r="I45" s="137">
        <f t="shared" si="21"/>
        <v>18555.813666608658</v>
      </c>
      <c r="J45" s="139">
        <f t="shared" si="15"/>
        <v>9277.9068333043288</v>
      </c>
      <c r="K45" s="167">
        <f t="shared" si="0"/>
        <v>3092.6356111014434</v>
      </c>
      <c r="L45" s="168" t="s">
        <v>21</v>
      </c>
      <c r="M45" s="169">
        <f>+pronostico!J44*20%</f>
        <v>12370.542444405773</v>
      </c>
      <c r="N45" s="170">
        <f t="shared" si="2"/>
        <v>25483317.435475893</v>
      </c>
      <c r="O45" s="171">
        <f t="shared" si="3"/>
        <v>12741658.717737947</v>
      </c>
      <c r="P45" s="170">
        <f t="shared" si="16"/>
        <v>6185.2712222028867</v>
      </c>
      <c r="Q45" s="172">
        <f t="shared" si="17"/>
        <v>6185.2712222028867</v>
      </c>
      <c r="R45" s="173">
        <f>+pronostico!J44*8%</f>
        <v>4948.2169777623094</v>
      </c>
      <c r="S45" s="174">
        <f t="shared" si="4"/>
        <v>10193326.974190358</v>
      </c>
      <c r="T45" s="175">
        <f t="shared" si="5"/>
        <v>5096663.487095179</v>
      </c>
      <c r="U45" s="173">
        <f>+pronostico!J44*8%</f>
        <v>4948.2169777623094</v>
      </c>
      <c r="V45" s="176">
        <f t="shared" si="24"/>
        <v>10193326.974190358</v>
      </c>
      <c r="W45" s="177">
        <f t="shared" si="22"/>
        <v>5096663.487095179</v>
      </c>
      <c r="X45" s="173">
        <f>+pronostico!J44*2%</f>
        <v>1237.0542444405773</v>
      </c>
      <c r="Y45" s="178">
        <f t="shared" si="8"/>
        <v>2548331.7435475895</v>
      </c>
      <c r="Z45" s="178">
        <f t="shared" si="9"/>
        <v>1274165.8717737948</v>
      </c>
      <c r="AA45" s="173">
        <f>+pronostico!J44*2%</f>
        <v>1237.0542444405773</v>
      </c>
      <c r="AB45" s="179">
        <f t="shared" si="10"/>
        <v>2548331.7435475895</v>
      </c>
      <c r="AC45" s="180">
        <f t="shared" si="11"/>
        <v>1274165.8717737948</v>
      </c>
      <c r="AD45" s="173">
        <f>+pronostico!J44*10%</f>
        <v>6185.2712222028867</v>
      </c>
      <c r="AE45" s="176">
        <f t="shared" si="23"/>
        <v>12741658.717737947</v>
      </c>
      <c r="AF45" s="177">
        <f t="shared" si="23"/>
        <v>6370829.3588689733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+pronostico!J45*50%</f>
        <v>15903.049641331256</v>
      </c>
      <c r="G46" s="137">
        <f t="shared" si="13"/>
        <v>44687569.49214083</v>
      </c>
      <c r="H46" s="138">
        <f t="shared" si="13"/>
        <v>22343784.746070415</v>
      </c>
      <c r="I46" s="137">
        <f t="shared" si="21"/>
        <v>9541.8297847987524</v>
      </c>
      <c r="J46" s="139">
        <f t="shared" si="15"/>
        <v>4770.9148923993762</v>
      </c>
      <c r="K46" s="167">
        <f t="shared" si="0"/>
        <v>1590.3049641331256</v>
      </c>
      <c r="L46" s="168" t="s">
        <v>21</v>
      </c>
      <c r="M46" s="169">
        <f>+pronostico!J45*20%</f>
        <v>6361.2198565325025</v>
      </c>
      <c r="N46" s="170">
        <f t="shared" si="2"/>
        <v>17875027.796856333</v>
      </c>
      <c r="O46" s="171">
        <f t="shared" si="3"/>
        <v>8937513.8984281663</v>
      </c>
      <c r="P46" s="170">
        <f t="shared" si="16"/>
        <v>3180.6099282662512</v>
      </c>
      <c r="Q46" s="172">
        <f t="shared" si="17"/>
        <v>3180.6099282662512</v>
      </c>
      <c r="R46" s="173">
        <f>+pronostico!J45*8%</f>
        <v>2544.487942613001</v>
      </c>
      <c r="S46" s="174">
        <f t="shared" si="4"/>
        <v>7150011.118742533</v>
      </c>
      <c r="T46" s="175">
        <f t="shared" si="5"/>
        <v>3575005.5593712665</v>
      </c>
      <c r="U46" s="173">
        <f>+pronostico!J45*8%</f>
        <v>2544.487942613001</v>
      </c>
      <c r="V46" s="176">
        <f t="shared" si="24"/>
        <v>7150011.118742533</v>
      </c>
      <c r="W46" s="177">
        <f t="shared" si="22"/>
        <v>3575005.5593712665</v>
      </c>
      <c r="X46" s="173">
        <f>+pronostico!J45*2%</f>
        <v>636.12198565325025</v>
      </c>
      <c r="Y46" s="178">
        <f t="shared" si="8"/>
        <v>1787502.7796856333</v>
      </c>
      <c r="Z46" s="178">
        <f t="shared" si="9"/>
        <v>893751.38984281663</v>
      </c>
      <c r="AA46" s="173">
        <f>+pronostico!J45*2%</f>
        <v>636.12198565325025</v>
      </c>
      <c r="AB46" s="179">
        <f t="shared" si="10"/>
        <v>1787502.7796856333</v>
      </c>
      <c r="AC46" s="180">
        <f t="shared" si="11"/>
        <v>893751.38984281663</v>
      </c>
      <c r="AD46" s="173">
        <f>+pronostico!J45*10%</f>
        <v>3180.6099282662512</v>
      </c>
      <c r="AE46" s="176">
        <f t="shared" si="23"/>
        <v>8937513.8984281663</v>
      </c>
      <c r="AF46" s="177">
        <f t="shared" si="23"/>
        <v>4468756.9492140831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+pronostico!J46*50%</f>
        <v>12993.12991972597</v>
      </c>
      <c r="G47" s="137">
        <f t="shared" si="13"/>
        <v>53791557.867665514</v>
      </c>
      <c r="H47" s="138">
        <f t="shared" si="13"/>
        <v>21516623.147066206</v>
      </c>
      <c r="I47" s="137">
        <f t="shared" si="21"/>
        <v>7795.8779518355823</v>
      </c>
      <c r="J47" s="139">
        <f t="shared" si="15"/>
        <v>3897.9389759177911</v>
      </c>
      <c r="K47" s="167">
        <f t="shared" si="0"/>
        <v>1299.312991972597</v>
      </c>
      <c r="L47" s="168" t="s">
        <v>21</v>
      </c>
      <c r="M47" s="169">
        <f>+pronostico!J46*20%</f>
        <v>5197.2519678903882</v>
      </c>
      <c r="N47" s="170">
        <f t="shared" si="2"/>
        <v>21516623.147066206</v>
      </c>
      <c r="O47" s="171">
        <f t="shared" si="3"/>
        <v>8606649.258826483</v>
      </c>
      <c r="P47" s="170">
        <f t="shared" si="16"/>
        <v>2598.6259839451941</v>
      </c>
      <c r="Q47" s="172">
        <f t="shared" si="17"/>
        <v>2598.6259839451941</v>
      </c>
      <c r="R47" s="173">
        <f>+pronostico!J46*8%</f>
        <v>2078.9007871561553</v>
      </c>
      <c r="S47" s="174">
        <f t="shared" si="4"/>
        <v>8606649.258826483</v>
      </c>
      <c r="T47" s="175">
        <f t="shared" si="5"/>
        <v>3442659.7035305933</v>
      </c>
      <c r="U47" s="173">
        <f>+pronostico!J46*8%</f>
        <v>2078.9007871561553</v>
      </c>
      <c r="V47" s="176">
        <f t="shared" si="24"/>
        <v>8606649.258826483</v>
      </c>
      <c r="W47" s="177">
        <f t="shared" si="22"/>
        <v>3442659.7035305933</v>
      </c>
      <c r="X47" s="173">
        <f>+pronostico!J46*2%</f>
        <v>519.72519678903882</v>
      </c>
      <c r="Y47" s="178">
        <f t="shared" si="8"/>
        <v>2151662.3147066208</v>
      </c>
      <c r="Z47" s="178">
        <f t="shared" si="9"/>
        <v>860664.92588264833</v>
      </c>
      <c r="AA47" s="173">
        <f>+pronostico!J46*2%</f>
        <v>519.72519678903882</v>
      </c>
      <c r="AB47" s="179">
        <f t="shared" si="10"/>
        <v>2151662.3147066208</v>
      </c>
      <c r="AC47" s="180">
        <f t="shared" si="11"/>
        <v>860664.92588264833</v>
      </c>
      <c r="AD47" s="173">
        <f>+pronostico!J46*10%</f>
        <v>2598.6259839451941</v>
      </c>
      <c r="AE47" s="176">
        <f t="shared" si="23"/>
        <v>10758311.573533103</v>
      </c>
      <c r="AF47" s="177">
        <f t="shared" si="23"/>
        <v>4303324.6294132415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+pronostico!J47*50%</f>
        <v>14321.655442470552</v>
      </c>
      <c r="G48" s="137">
        <f t="shared" si="13"/>
        <v>30791559.201311685</v>
      </c>
      <c r="H48" s="138">
        <f t="shared" si="13"/>
        <v>15395779.600655843</v>
      </c>
      <c r="I48" s="137">
        <f t="shared" si="21"/>
        <v>8592.9932654823315</v>
      </c>
      <c r="J48" s="139">
        <f t="shared" si="15"/>
        <v>4296.4966327411657</v>
      </c>
      <c r="K48" s="167">
        <f t="shared" si="0"/>
        <v>1432.1655442470553</v>
      </c>
      <c r="L48" s="168" t="s">
        <v>21</v>
      </c>
      <c r="M48" s="169">
        <f>+pronostico!J47*20%</f>
        <v>5728.6621769882213</v>
      </c>
      <c r="N48" s="170">
        <f t="shared" si="2"/>
        <v>12316623.680524675</v>
      </c>
      <c r="O48" s="171">
        <f t="shared" si="3"/>
        <v>6158311.8402623376</v>
      </c>
      <c r="P48" s="170">
        <f t="shared" si="16"/>
        <v>2864.3310884941106</v>
      </c>
      <c r="Q48" s="172">
        <f t="shared" si="17"/>
        <v>2864.3310884941106</v>
      </c>
      <c r="R48" s="173">
        <f>+pronostico!J47*8%</f>
        <v>2291.4648707952883</v>
      </c>
      <c r="S48" s="174">
        <f t="shared" si="4"/>
        <v>4926649.4722098699</v>
      </c>
      <c r="T48" s="175">
        <f t="shared" si="5"/>
        <v>2463324.7361049349</v>
      </c>
      <c r="U48" s="173">
        <f>+pronostico!J47*8%</f>
        <v>2291.4648707952883</v>
      </c>
      <c r="V48" s="176">
        <f t="shared" si="24"/>
        <v>4926649.4722098699</v>
      </c>
      <c r="W48" s="177">
        <f t="shared" si="22"/>
        <v>2463324.7361049349</v>
      </c>
      <c r="X48" s="173">
        <f>+pronostico!J47*2%</f>
        <v>572.86621769882208</v>
      </c>
      <c r="Y48" s="178">
        <f t="shared" si="8"/>
        <v>1231662.3680524675</v>
      </c>
      <c r="Z48" s="178">
        <f t="shared" si="9"/>
        <v>615831.18402623374</v>
      </c>
      <c r="AA48" s="173">
        <f>+pronostico!J47*2%</f>
        <v>572.86621769882208</v>
      </c>
      <c r="AB48" s="179">
        <f t="shared" si="10"/>
        <v>1231662.3680524675</v>
      </c>
      <c r="AC48" s="180">
        <f t="shared" si="11"/>
        <v>615831.18402623374</v>
      </c>
      <c r="AD48" s="173">
        <f>+pronostico!J47*10%</f>
        <v>2864.3310884941106</v>
      </c>
      <c r="AE48" s="176">
        <f t="shared" si="23"/>
        <v>6158311.8402623376</v>
      </c>
      <c r="AF48" s="177">
        <f t="shared" si="23"/>
        <v>3079155.9201311688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+pronostico!J48*50%</f>
        <v>11368.988679760221</v>
      </c>
      <c r="G49" s="137">
        <f t="shared" si="13"/>
        <v>24443325.661484476</v>
      </c>
      <c r="H49" s="138">
        <f t="shared" si="13"/>
        <v>12221662.830742238</v>
      </c>
      <c r="I49" s="137">
        <f t="shared" si="21"/>
        <v>6821.3932078561329</v>
      </c>
      <c r="J49" s="139">
        <f t="shared" si="15"/>
        <v>3410.6966039280665</v>
      </c>
      <c r="K49" s="167">
        <f t="shared" si="0"/>
        <v>1136.8988679760221</v>
      </c>
      <c r="L49" s="168" t="s">
        <v>21</v>
      </c>
      <c r="M49" s="169">
        <f>+pronostico!J48*20%</f>
        <v>4547.5954719040883</v>
      </c>
      <c r="N49" s="170">
        <f t="shared" si="2"/>
        <v>9777330.2645937894</v>
      </c>
      <c r="O49" s="171">
        <f t="shared" si="3"/>
        <v>4888665.1322968947</v>
      </c>
      <c r="P49" s="170">
        <f t="shared" si="16"/>
        <v>2273.7977359520441</v>
      </c>
      <c r="Q49" s="172">
        <f t="shared" si="17"/>
        <v>2273.7977359520441</v>
      </c>
      <c r="R49" s="173">
        <f>+pronostico!J48*8%</f>
        <v>1819.0381887616354</v>
      </c>
      <c r="S49" s="174">
        <f t="shared" si="4"/>
        <v>3910932.105837516</v>
      </c>
      <c r="T49" s="175">
        <f t="shared" si="5"/>
        <v>1955466.052918758</v>
      </c>
      <c r="U49" s="173">
        <f>+pronostico!J48*8%</f>
        <v>1819.0381887616354</v>
      </c>
      <c r="V49" s="176">
        <f t="shared" si="24"/>
        <v>3910932.105837516</v>
      </c>
      <c r="W49" s="177">
        <f t="shared" si="22"/>
        <v>1955466.052918758</v>
      </c>
      <c r="X49" s="173">
        <f>+pronostico!J48*2%</f>
        <v>454.75954719040885</v>
      </c>
      <c r="Y49" s="178">
        <f t="shared" si="8"/>
        <v>977733.02645937901</v>
      </c>
      <c r="Z49" s="178">
        <f t="shared" si="9"/>
        <v>488866.5132296895</v>
      </c>
      <c r="AA49" s="173">
        <f>+pronostico!J48*2%</f>
        <v>454.75954719040885</v>
      </c>
      <c r="AB49" s="179">
        <f t="shared" si="10"/>
        <v>977733.02645937901</v>
      </c>
      <c r="AC49" s="180">
        <f t="shared" si="11"/>
        <v>488866.5132296895</v>
      </c>
      <c r="AD49" s="173">
        <f>+pronostico!J48*10%</f>
        <v>2273.7977359520441</v>
      </c>
      <c r="AE49" s="176">
        <f t="shared" si="23"/>
        <v>4888665.1322968947</v>
      </c>
      <c r="AF49" s="177">
        <f t="shared" si="23"/>
        <v>2444332.5661484473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+pronostico!J49*50%</f>
        <v>8323.7238548244641</v>
      </c>
      <c r="G50" s="137">
        <f t="shared" si="13"/>
        <v>33960793.327683814</v>
      </c>
      <c r="H50" s="138">
        <f t="shared" si="13"/>
        <v>13584317.331073526</v>
      </c>
      <c r="I50" s="137">
        <f t="shared" si="21"/>
        <v>4994.2343128946786</v>
      </c>
      <c r="J50" s="139">
        <f t="shared" si="15"/>
        <v>2497.1171564473393</v>
      </c>
      <c r="K50" s="167">
        <f t="shared" si="0"/>
        <v>832.37238548244648</v>
      </c>
      <c r="L50" s="168" t="s">
        <v>21</v>
      </c>
      <c r="M50" s="169">
        <f>+pronostico!J49*20%</f>
        <v>3329.4895419297859</v>
      </c>
      <c r="N50" s="170">
        <f t="shared" si="2"/>
        <v>13584317.331073526</v>
      </c>
      <c r="O50" s="171">
        <f t="shared" si="3"/>
        <v>5433726.9324294105</v>
      </c>
      <c r="P50" s="170">
        <f t="shared" si="16"/>
        <v>1664.744770964893</v>
      </c>
      <c r="Q50" s="172">
        <f t="shared" si="17"/>
        <v>1664.744770964893</v>
      </c>
      <c r="R50" s="173">
        <f>+pronostico!J49*8%</f>
        <v>1331.7958167719144</v>
      </c>
      <c r="S50" s="174">
        <f t="shared" si="4"/>
        <v>5433726.9324294105</v>
      </c>
      <c r="T50" s="175">
        <f t="shared" si="5"/>
        <v>2173490.7729717642</v>
      </c>
      <c r="U50" s="173">
        <f>+pronostico!J49*8%</f>
        <v>1331.7958167719144</v>
      </c>
      <c r="V50" s="176">
        <f t="shared" si="24"/>
        <v>5433726.9324294105</v>
      </c>
      <c r="W50" s="177">
        <f t="shared" si="22"/>
        <v>2173490.7729717642</v>
      </c>
      <c r="X50" s="173">
        <f>+pronostico!J49*2%</f>
        <v>332.94895419297859</v>
      </c>
      <c r="Y50" s="178">
        <f t="shared" si="8"/>
        <v>1358431.7331073526</v>
      </c>
      <c r="Z50" s="178">
        <f t="shared" si="9"/>
        <v>543372.69324294105</v>
      </c>
      <c r="AA50" s="173">
        <f>+pronostico!J49*2%</f>
        <v>332.94895419297859</v>
      </c>
      <c r="AB50" s="179">
        <f t="shared" si="10"/>
        <v>1358431.7331073526</v>
      </c>
      <c r="AC50" s="180">
        <f t="shared" si="11"/>
        <v>543372.69324294105</v>
      </c>
      <c r="AD50" s="173">
        <f>+pronostico!J49*10%</f>
        <v>1664.744770964893</v>
      </c>
      <c r="AE50" s="176">
        <f t="shared" si="23"/>
        <v>6792158.6655367631</v>
      </c>
      <c r="AF50" s="177">
        <f t="shared" si="23"/>
        <v>2716863.4662147053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+pronostico!J50*50%</f>
        <v>9068.121923142091</v>
      </c>
      <c r="G51" s="150">
        <f t="shared" si="13"/>
        <v>50418757.892670028</v>
      </c>
      <c r="H51" s="138">
        <f t="shared" si="13"/>
        <v>20167503.157068014</v>
      </c>
      <c r="I51" s="150">
        <f t="shared" si="21"/>
        <v>5440.8731538852544</v>
      </c>
      <c r="J51" s="151">
        <f t="shared" si="15"/>
        <v>2720.4365769426272</v>
      </c>
      <c r="K51" s="181">
        <f t="shared" si="0"/>
        <v>906.81219231420914</v>
      </c>
      <c r="L51" s="182" t="s">
        <v>21</v>
      </c>
      <c r="M51" s="169">
        <f>+pronostico!J50*20%</f>
        <v>3627.2487692568366</v>
      </c>
      <c r="N51" s="170">
        <f t="shared" si="2"/>
        <v>20167503.15706801</v>
      </c>
      <c r="O51" s="171">
        <f t="shared" si="3"/>
        <v>8067001.2628272045</v>
      </c>
      <c r="P51" s="183">
        <f t="shared" si="16"/>
        <v>1813.6243846284183</v>
      </c>
      <c r="Q51" s="184">
        <f t="shared" si="17"/>
        <v>1813.6243846284183</v>
      </c>
      <c r="R51" s="173">
        <f>+pronostico!J50*8%</f>
        <v>1450.8995077027346</v>
      </c>
      <c r="S51" s="174">
        <f t="shared" si="4"/>
        <v>8067001.2628272045</v>
      </c>
      <c r="T51" s="175">
        <f t="shared" si="5"/>
        <v>3226800.5051308819</v>
      </c>
      <c r="U51" s="173">
        <f>+pronostico!J50*8%</f>
        <v>1450.8995077027346</v>
      </c>
      <c r="V51" s="176">
        <f t="shared" si="24"/>
        <v>8067001.2628272045</v>
      </c>
      <c r="W51" s="177">
        <f t="shared" si="22"/>
        <v>3226800.5051308819</v>
      </c>
      <c r="X51" s="173">
        <f>+pronostico!J50*2%</f>
        <v>362.72487692568365</v>
      </c>
      <c r="Y51" s="178">
        <f t="shared" si="8"/>
        <v>2016750.3157068011</v>
      </c>
      <c r="Z51" s="178">
        <f t="shared" si="9"/>
        <v>806700.12628272048</v>
      </c>
      <c r="AA51" s="173">
        <f>+pronostico!J50*2%</f>
        <v>362.72487692568365</v>
      </c>
      <c r="AB51" s="179">
        <f t="shared" si="10"/>
        <v>2016750.3157068011</v>
      </c>
      <c r="AC51" s="180">
        <f t="shared" si="11"/>
        <v>806700.12628272048</v>
      </c>
      <c r="AD51" s="173">
        <f>+pronostico!J50*10%</f>
        <v>1813.6243846284183</v>
      </c>
      <c r="AE51" s="176">
        <f t="shared" si="23"/>
        <v>10083751.578534005</v>
      </c>
      <c r="AF51" s="177">
        <f t="shared" si="23"/>
        <v>4033500.6314136023</v>
      </c>
    </row>
    <row r="52" spans="1:32" x14ac:dyDescent="0.25">
      <c r="A52" s="152"/>
      <c r="B52" s="354" t="s">
        <v>146</v>
      </c>
      <c r="C52" s="291"/>
      <c r="D52" s="291"/>
      <c r="E52" s="292"/>
      <c r="F52" s="287"/>
      <c r="G52" s="288">
        <f>SUM(G4:G51)</f>
        <v>5227109855.171073</v>
      </c>
      <c r="H52" s="289">
        <f>SUM(H4:H51)</f>
        <v>2314895644.2574205</v>
      </c>
      <c r="I52" s="290"/>
      <c r="J52" s="291"/>
      <c r="K52" s="291"/>
      <c r="L52" s="292"/>
      <c r="M52" s="287"/>
      <c r="N52" s="293">
        <f>SUM(N4:N51)</f>
        <v>2090843942.0684292</v>
      </c>
      <c r="O52" s="294">
        <f>SUM(O4:O51)</f>
        <v>925958257.70296788</v>
      </c>
      <c r="P52" s="290"/>
      <c r="Q52" s="292"/>
      <c r="R52" s="287"/>
      <c r="S52" s="295">
        <f>SUM(S4:S51)</f>
        <v>836337576.82737195</v>
      </c>
      <c r="T52" s="296">
        <f>SUM(T4:T51)</f>
        <v>370383303.08118713</v>
      </c>
      <c r="U52" s="287"/>
      <c r="V52" s="295">
        <f>SUM(V4:V51)</f>
        <v>571703000.02737176</v>
      </c>
      <c r="W52" s="296">
        <f>SUM(W4:W51)</f>
        <v>249592019.48118711</v>
      </c>
      <c r="X52" s="287"/>
      <c r="Y52" s="295">
        <f>SUM(Y4:Y51)</f>
        <v>209084394.20684299</v>
      </c>
      <c r="Z52" s="297">
        <f>SUM(Z4:Z51)</f>
        <v>92595825.770296782</v>
      </c>
      <c r="AA52" s="298"/>
      <c r="AB52" s="295">
        <f>SUM(AB4:AB51)</f>
        <v>209084394.20684299</v>
      </c>
      <c r="AC52" s="299">
        <f>SUM(AC4:AC51)</f>
        <v>92595825.770296782</v>
      </c>
      <c r="AD52" s="298"/>
      <c r="AE52" s="295">
        <f>SUM(AE4:AE51)</f>
        <v>1045421971.0342146</v>
      </c>
      <c r="AF52" s="299">
        <f>SUM(AF4:AF51)</f>
        <v>462979128.85148394</v>
      </c>
    </row>
    <row r="53" spans="1:32" ht="15.75" thickBot="1" x14ac:dyDescent="0.3">
      <c r="A53" s="152"/>
      <c r="B53" s="300" t="s">
        <v>147</v>
      </c>
      <c r="C53" s="304"/>
      <c r="D53" s="304"/>
      <c r="E53" s="306"/>
      <c r="F53" s="300"/>
      <c r="G53" s="301">
        <f>+G52*30%</f>
        <v>1568132956.5513217</v>
      </c>
      <c r="H53" s="302"/>
      <c r="I53" s="303"/>
      <c r="J53" s="304"/>
      <c r="K53" s="305"/>
      <c r="L53" s="306"/>
      <c r="M53" s="300"/>
      <c r="N53" s="307">
        <f>+N52*20%</f>
        <v>418168788.41368586</v>
      </c>
      <c r="O53" s="302"/>
      <c r="P53" s="308"/>
      <c r="Q53" s="309"/>
      <c r="R53" s="310"/>
      <c r="S53" s="311">
        <f>+S52*12%</f>
        <v>100360509.21928462</v>
      </c>
      <c r="T53" s="302"/>
      <c r="U53" s="312"/>
      <c r="V53" s="311">
        <f>+V52*12%</f>
        <v>68604360.003284603</v>
      </c>
      <c r="W53" s="302"/>
      <c r="X53" s="312"/>
      <c r="Y53" s="311"/>
      <c r="Z53" s="313"/>
      <c r="AA53" s="312"/>
      <c r="AB53" s="311">
        <f>+AB52*12%</f>
        <v>25090127.304821156</v>
      </c>
      <c r="AC53" s="302"/>
      <c r="AD53" s="312"/>
      <c r="AE53" s="311">
        <f>+AE52*12%</f>
        <v>125450636.52410574</v>
      </c>
      <c r="AF53" s="302"/>
    </row>
    <row r="54" spans="1:32" ht="15.75" thickBot="1" x14ac:dyDescent="0.3">
      <c r="A54" s="152"/>
      <c r="B54" s="314" t="s">
        <v>148</v>
      </c>
      <c r="C54" s="318"/>
      <c r="D54" s="318"/>
      <c r="E54" s="319"/>
      <c r="F54" s="314"/>
      <c r="G54" s="315">
        <f>+G52-G53</f>
        <v>3658976898.619751</v>
      </c>
      <c r="H54" s="316"/>
      <c r="I54" s="317"/>
      <c r="J54" s="318"/>
      <c r="K54" s="318"/>
      <c r="L54" s="319"/>
      <c r="M54" s="314"/>
      <c r="N54" s="320">
        <f>+N52-N53</f>
        <v>1672675153.6547434</v>
      </c>
      <c r="O54" s="316"/>
      <c r="P54" s="317"/>
      <c r="Q54" s="319"/>
      <c r="R54" s="314"/>
      <c r="S54" s="321">
        <f>+S52-S53</f>
        <v>735977067.6080873</v>
      </c>
      <c r="T54" s="316"/>
      <c r="U54" s="322"/>
      <c r="V54" s="321">
        <f>+V52-V53</f>
        <v>503098640.02408719</v>
      </c>
      <c r="W54" s="316"/>
      <c r="X54" s="322"/>
      <c r="Y54" s="321">
        <f>+Y52-Y53</f>
        <v>209084394.20684299</v>
      </c>
      <c r="Z54" s="323"/>
      <c r="AA54" s="322"/>
      <c r="AB54" s="321">
        <f>+AB52-AB53</f>
        <v>183994266.90202183</v>
      </c>
      <c r="AC54" s="316"/>
      <c r="AD54" s="322"/>
      <c r="AE54" s="321">
        <f>+AE52-AE53</f>
        <v>919971334.51010883</v>
      </c>
      <c r="AF54" s="316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786" t="s">
        <v>161</v>
      </c>
      <c r="G56" s="787"/>
      <c r="H56" s="788"/>
      <c r="M56" s="786" t="s">
        <v>160</v>
      </c>
      <c r="N56" s="787"/>
      <c r="O56" s="788"/>
      <c r="R56" s="786" t="s">
        <v>159</v>
      </c>
      <c r="S56" s="787"/>
      <c r="T56" s="788"/>
    </row>
    <row r="57" spans="1:32" x14ac:dyDescent="0.25">
      <c r="F57" s="3" t="s">
        <v>155</v>
      </c>
      <c r="G57" s="3"/>
      <c r="H57" s="271">
        <f>+G52</f>
        <v>5227109855.171073</v>
      </c>
      <c r="M57" s="3" t="s">
        <v>155</v>
      </c>
      <c r="N57" s="3"/>
      <c r="O57" s="271">
        <f>+N52</f>
        <v>2090843942.0684292</v>
      </c>
      <c r="R57" s="3" t="s">
        <v>155</v>
      </c>
      <c r="S57" s="3"/>
      <c r="T57" s="271">
        <f>S52+V52+Y52+AB52+AE52</f>
        <v>2871631336.3026443</v>
      </c>
    </row>
    <row r="58" spans="1:32" x14ac:dyDescent="0.25">
      <c r="F58" s="3" t="s">
        <v>156</v>
      </c>
      <c r="G58" s="3"/>
      <c r="H58" s="271">
        <f>+G52-H52</f>
        <v>2912214210.9136524</v>
      </c>
      <c r="M58" s="3" t="s">
        <v>156</v>
      </c>
      <c r="N58" s="3"/>
      <c r="O58" s="271">
        <f>+N52-O52</f>
        <v>1164885684.3654613</v>
      </c>
      <c r="R58" s="3" t="s">
        <v>156</v>
      </c>
      <c r="S58" s="3"/>
      <c r="T58" s="271">
        <f>T57-T59</f>
        <v>1603485233.3481925</v>
      </c>
    </row>
    <row r="59" spans="1:32" x14ac:dyDescent="0.25">
      <c r="F59" s="3" t="s">
        <v>157</v>
      </c>
      <c r="G59" s="3"/>
      <c r="H59" s="271">
        <f>+H52</f>
        <v>2314895644.2574205</v>
      </c>
      <c r="M59" s="3" t="s">
        <v>157</v>
      </c>
      <c r="N59" s="3"/>
      <c r="O59" s="271">
        <f>+O52</f>
        <v>925958257.70296788</v>
      </c>
      <c r="R59" s="3" t="s">
        <v>157</v>
      </c>
      <c r="S59" s="3"/>
      <c r="T59" s="271">
        <f>T52+W52+Z52+AC52+AF52</f>
        <v>1268146102.9544518</v>
      </c>
    </row>
    <row r="60" spans="1:32" x14ac:dyDescent="0.25">
      <c r="F60" s="3" t="s">
        <v>147</v>
      </c>
      <c r="G60" s="3"/>
      <c r="H60" s="271">
        <f>+G53</f>
        <v>1568132956.5513217</v>
      </c>
      <c r="M60" s="3" t="s">
        <v>147</v>
      </c>
      <c r="N60" s="3"/>
      <c r="O60" s="271">
        <f>+N53</f>
        <v>418168788.41368586</v>
      </c>
      <c r="R60" s="3" t="s">
        <v>147</v>
      </c>
      <c r="S60" s="3"/>
      <c r="T60" s="271">
        <f>S53+V53+AB53+AE53</f>
        <v>319505633.05149615</v>
      </c>
    </row>
    <row r="61" spans="1:32" x14ac:dyDescent="0.25">
      <c r="F61" s="3" t="s">
        <v>158</v>
      </c>
      <c r="G61" s="3"/>
      <c r="H61" s="271">
        <f>+H59-H60</f>
        <v>746762687.70609879</v>
      </c>
      <c r="M61" s="3" t="s">
        <v>158</v>
      </c>
      <c r="N61" s="3"/>
      <c r="O61" s="271">
        <f>+O59-O60</f>
        <v>507789469.28928202</v>
      </c>
      <c r="R61" s="3" t="s">
        <v>158</v>
      </c>
      <c r="S61" s="3"/>
      <c r="T61" s="271">
        <f>+T59-T60</f>
        <v>948640469.90295565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M43" workbookViewId="0">
      <selection activeCell="F56" sqref="F56:H61"/>
    </sheetView>
  </sheetViews>
  <sheetFormatPr baseColWidth="10" defaultRowHeight="15" x14ac:dyDescent="0.25"/>
  <cols>
    <col min="1" max="1" width="13.42578125" style="99" customWidth="1"/>
    <col min="2" max="2" width="32.140625" style="132" customWidth="1"/>
    <col min="3" max="3" width="20" style="132" customWidth="1"/>
    <col min="4" max="4" width="13.5703125" style="132" customWidth="1"/>
    <col min="5" max="5" width="11.140625" style="132" bestFit="1" customWidth="1"/>
    <col min="6" max="6" width="12.85546875" style="132" customWidth="1"/>
    <col min="7" max="7" width="15.85546875" style="132" customWidth="1"/>
    <col min="8" max="8" width="20" style="132" customWidth="1"/>
    <col min="9" max="9" width="9.85546875" style="132" bestFit="1" customWidth="1"/>
    <col min="10" max="10" width="10" style="132" bestFit="1" customWidth="1"/>
    <col min="11" max="11" width="11.42578125" style="132"/>
    <col min="12" max="12" width="15.140625" style="132" bestFit="1" customWidth="1"/>
    <col min="13" max="13" width="13.7109375" style="132" customWidth="1"/>
    <col min="14" max="14" width="16.140625" style="132" customWidth="1"/>
    <col min="15" max="15" width="16.42578125" style="132" customWidth="1"/>
    <col min="16" max="18" width="11.42578125" style="132"/>
    <col min="19" max="19" width="15.28515625" style="132" customWidth="1"/>
    <col min="20" max="20" width="15.85546875" style="132" customWidth="1"/>
    <col min="21" max="21" width="11.42578125" style="132"/>
    <col min="22" max="29" width="17.28515625" style="132" customWidth="1"/>
    <col min="30" max="30" width="11.42578125" style="132"/>
    <col min="31" max="32" width="18.85546875" style="132" customWidth="1"/>
    <col min="33" max="16384" width="11.42578125" style="132"/>
  </cols>
  <sheetData>
    <row r="1" spans="1:32" ht="34.5" thickBot="1" x14ac:dyDescent="0.55000000000000004">
      <c r="A1" s="789" t="s">
        <v>154</v>
      </c>
      <c r="B1" s="790"/>
      <c r="C1" s="790"/>
      <c r="D1" s="790"/>
      <c r="E1" s="790"/>
      <c r="F1" s="790"/>
      <c r="G1" s="790"/>
      <c r="H1" s="790"/>
      <c r="I1" s="790"/>
      <c r="J1" s="790"/>
      <c r="K1" s="790"/>
      <c r="L1" s="790"/>
      <c r="M1" s="790"/>
      <c r="N1" s="790"/>
      <c r="O1" s="790"/>
      <c r="P1" s="790"/>
      <c r="Q1" s="790"/>
      <c r="R1" s="790"/>
      <c r="S1" s="790"/>
      <c r="T1" s="790"/>
      <c r="U1" s="790"/>
      <c r="V1" s="790"/>
      <c r="W1" s="790"/>
      <c r="X1" s="790"/>
      <c r="Y1" s="790"/>
      <c r="Z1" s="790"/>
      <c r="AA1" s="790"/>
      <c r="AB1" s="790"/>
      <c r="AC1" s="790"/>
      <c r="AD1" s="790"/>
      <c r="AE1" s="790"/>
      <c r="AF1" s="791"/>
    </row>
    <row r="2" spans="1:32" ht="24" thickBot="1" x14ac:dyDescent="0.3">
      <c r="D2" s="156"/>
      <c r="E2" s="156"/>
      <c r="F2" s="792" t="s">
        <v>125</v>
      </c>
      <c r="G2" s="793"/>
      <c r="H2" s="793"/>
      <c r="I2" s="793"/>
      <c r="J2" s="793"/>
      <c r="K2" s="793"/>
      <c r="L2" s="794"/>
      <c r="M2" s="795" t="s">
        <v>126</v>
      </c>
      <c r="N2" s="796"/>
      <c r="O2" s="796"/>
      <c r="P2" s="796"/>
      <c r="Q2" s="797"/>
      <c r="R2" s="798" t="s">
        <v>127</v>
      </c>
      <c r="S2" s="799"/>
      <c r="T2" s="799"/>
      <c r="U2" s="799"/>
      <c r="V2" s="799"/>
      <c r="W2" s="799"/>
      <c r="X2" s="799"/>
      <c r="Y2" s="799"/>
      <c r="Z2" s="799"/>
      <c r="AA2" s="799"/>
      <c r="AB2" s="799"/>
      <c r="AC2" s="799"/>
      <c r="AD2" s="799"/>
      <c r="AE2" s="799"/>
      <c r="AF2" s="800"/>
    </row>
    <row r="3" spans="1:32" s="99" customFormat="1" ht="48" thickBot="1" x14ac:dyDescent="0.3">
      <c r="A3" s="157" t="s">
        <v>31</v>
      </c>
      <c r="B3" s="157" t="s">
        <v>2</v>
      </c>
      <c r="C3" s="157" t="s">
        <v>34</v>
      </c>
      <c r="D3" s="157" t="s">
        <v>137</v>
      </c>
      <c r="E3" s="157" t="s">
        <v>149</v>
      </c>
      <c r="F3" s="86" t="s">
        <v>141</v>
      </c>
      <c r="G3" s="158" t="s">
        <v>140</v>
      </c>
      <c r="H3" s="158" t="s">
        <v>150</v>
      </c>
      <c r="I3" s="159" t="s">
        <v>142</v>
      </c>
      <c r="J3" s="158" t="s">
        <v>143</v>
      </c>
      <c r="K3" s="158" t="s">
        <v>144</v>
      </c>
      <c r="L3" s="160" t="s">
        <v>145</v>
      </c>
      <c r="M3" s="161" t="s">
        <v>141</v>
      </c>
      <c r="N3" s="162" t="s">
        <v>140</v>
      </c>
      <c r="O3" s="162" t="s">
        <v>150</v>
      </c>
      <c r="P3" s="163" t="s">
        <v>151</v>
      </c>
      <c r="Q3" s="164" t="s">
        <v>152</v>
      </c>
      <c r="R3" s="165" t="s">
        <v>128</v>
      </c>
      <c r="S3" s="165" t="s">
        <v>140</v>
      </c>
      <c r="T3" s="165" t="s">
        <v>150</v>
      </c>
      <c r="U3" s="165" t="s">
        <v>129</v>
      </c>
      <c r="V3" s="165" t="s">
        <v>140</v>
      </c>
      <c r="W3" s="165" t="s">
        <v>150</v>
      </c>
      <c r="X3" s="165" t="s">
        <v>130</v>
      </c>
      <c r="Y3" s="165" t="s">
        <v>140</v>
      </c>
      <c r="Z3" s="166" t="s">
        <v>150</v>
      </c>
      <c r="AA3" s="165" t="s">
        <v>131</v>
      </c>
      <c r="AB3" s="165" t="s">
        <v>140</v>
      </c>
      <c r="AC3" s="165" t="s">
        <v>150</v>
      </c>
      <c r="AD3" s="165" t="s">
        <v>153</v>
      </c>
      <c r="AE3" s="165" t="s">
        <v>140</v>
      </c>
      <c r="AF3" s="165" t="s">
        <v>150</v>
      </c>
    </row>
    <row r="4" spans="1:32" ht="14.25" x14ac:dyDescent="0.2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+pronostico!K3*50%</f>
        <v>82772.099669702919</v>
      </c>
      <c r="G4" s="137">
        <f>F4*D4</f>
        <v>406411009.37824136</v>
      </c>
      <c r="H4" s="138">
        <f>G4*E4</f>
        <v>162564403.75129655</v>
      </c>
      <c r="I4" s="137">
        <f>+F4*50%</f>
        <v>41386.049834851459</v>
      </c>
      <c r="J4" s="139">
        <f>+F4*30%</f>
        <v>24831.629900910873</v>
      </c>
      <c r="K4" s="167">
        <f t="shared" ref="K4:K51" si="0">+F4*10%</f>
        <v>8277.209966970293</v>
      </c>
      <c r="L4" s="168">
        <f t="shared" ref="L4:L18" si="1">+F4*10%</f>
        <v>8277.209966970293</v>
      </c>
      <c r="M4" s="169">
        <f>+pronostico!K3*20%</f>
        <v>33108.839867881172</v>
      </c>
      <c r="N4" s="170">
        <f t="shared" ref="N4:N51" si="2">M4*D4</f>
        <v>162564403.75129655</v>
      </c>
      <c r="O4" s="171">
        <f t="shared" ref="O4:O51" si="3">N4*E4</f>
        <v>65025761.50051862</v>
      </c>
      <c r="P4" s="170">
        <f>+M4*50%</f>
        <v>16554.419933940586</v>
      </c>
      <c r="Q4" s="172">
        <f>+M4*50%</f>
        <v>16554.419933940586</v>
      </c>
      <c r="R4" s="173">
        <f>+pronostico!K3*8%</f>
        <v>13243.535947152468</v>
      </c>
      <c r="S4" s="174">
        <f t="shared" ref="S4:S51" si="4">R4*D4</f>
        <v>65025761.50051862</v>
      </c>
      <c r="T4" s="175">
        <f t="shared" ref="T4:T51" si="5">S4*E4</f>
        <v>26010304.600207448</v>
      </c>
      <c r="U4" s="173">
        <f>+pronostico!K3*8%</f>
        <v>13243.535947152468</v>
      </c>
      <c r="V4" s="176">
        <f t="shared" ref="V4:V35" si="6">U4*D4</f>
        <v>65025761.50051862</v>
      </c>
      <c r="W4" s="177">
        <f t="shared" ref="W4:W35" si="7">V4*E4</f>
        <v>26010304.600207448</v>
      </c>
      <c r="X4" s="173">
        <f>+pronostico!K3*2%</f>
        <v>3310.883986788117</v>
      </c>
      <c r="Y4" s="178">
        <f t="shared" ref="Y4:Y51" si="8">X4*D4</f>
        <v>16256440.375129655</v>
      </c>
      <c r="Z4" s="178">
        <f t="shared" ref="Z4:Z51" si="9">Y4*E4</f>
        <v>6502576.150051862</v>
      </c>
      <c r="AA4" s="173">
        <f>+pronostico!K3*2%</f>
        <v>3310.883986788117</v>
      </c>
      <c r="AB4" s="176">
        <f t="shared" ref="AB4:AB51" si="10">AA4*D4</f>
        <v>16256440.375129655</v>
      </c>
      <c r="AC4" s="177">
        <f t="shared" ref="AC4:AC51" si="11">AB4*E4</f>
        <v>6502576.150051862</v>
      </c>
      <c r="AD4" s="173">
        <f>+pronostico!K3*10%</f>
        <v>16554.419933940586</v>
      </c>
      <c r="AE4" s="176">
        <f>+AD4*D4</f>
        <v>81282201.875648275</v>
      </c>
      <c r="AF4" s="177">
        <f>+AE4*E4</f>
        <v>32512880.75025931</v>
      </c>
    </row>
    <row r="5" spans="1:32" ht="14.25" x14ac:dyDescent="0.2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+pronostico!K4*50%</f>
        <v>57232.584226937142</v>
      </c>
      <c r="G5" s="137">
        <f t="shared" ref="G5:H51" si="13">F5*D5</f>
        <v>281011988.55426139</v>
      </c>
      <c r="H5" s="138">
        <f t="shared" si="13"/>
        <v>112404795.42170456</v>
      </c>
      <c r="I5" s="137">
        <f t="shared" ref="I5:I20" si="14">+F5*50%</f>
        <v>28616.292113468571</v>
      </c>
      <c r="J5" s="139">
        <f t="shared" ref="J5:J51" si="15">+F5*30%</f>
        <v>17169.775268081143</v>
      </c>
      <c r="K5" s="167">
        <f t="shared" si="0"/>
        <v>5723.2584226937142</v>
      </c>
      <c r="L5" s="168">
        <f t="shared" si="1"/>
        <v>5723.2584226937142</v>
      </c>
      <c r="M5" s="169">
        <f>+pronostico!K4*20%</f>
        <v>22893.033690774857</v>
      </c>
      <c r="N5" s="170">
        <f t="shared" si="2"/>
        <v>112404795.42170455</v>
      </c>
      <c r="O5" s="171">
        <f t="shared" si="3"/>
        <v>44961918.168681823</v>
      </c>
      <c r="P5" s="170">
        <f t="shared" ref="P5:P51" si="16">+M5*50%</f>
        <v>11446.516845387428</v>
      </c>
      <c r="Q5" s="172">
        <f t="shared" ref="Q5:Q51" si="17">+M5*50%</f>
        <v>11446.516845387428</v>
      </c>
      <c r="R5" s="173">
        <f>+pronostico!K4*8%</f>
        <v>9157.2134763099439</v>
      </c>
      <c r="S5" s="174">
        <f t="shared" si="4"/>
        <v>44961918.168681823</v>
      </c>
      <c r="T5" s="175">
        <f t="shared" si="5"/>
        <v>17984767.267472729</v>
      </c>
      <c r="U5" s="173">
        <f>+pronostico!K4*8%</f>
        <v>9157.2134763099439</v>
      </c>
      <c r="V5" s="176">
        <f t="shared" si="6"/>
        <v>44961918.168681823</v>
      </c>
      <c r="W5" s="177">
        <f t="shared" si="7"/>
        <v>17984767.267472729</v>
      </c>
      <c r="X5" s="173">
        <f>+pronostico!K4*2%</f>
        <v>2289.303369077486</v>
      </c>
      <c r="Y5" s="178">
        <f t="shared" si="8"/>
        <v>11240479.542170456</v>
      </c>
      <c r="Z5" s="178">
        <f t="shared" si="9"/>
        <v>4496191.8168681823</v>
      </c>
      <c r="AA5" s="173">
        <f>+pronostico!K4*2%</f>
        <v>2289.303369077486</v>
      </c>
      <c r="AB5" s="179">
        <f t="shared" si="10"/>
        <v>11240479.542170456</v>
      </c>
      <c r="AC5" s="180">
        <f t="shared" si="11"/>
        <v>4496191.8168681823</v>
      </c>
      <c r="AD5" s="173">
        <f>+pronostico!K4*10%</f>
        <v>11446.516845387428</v>
      </c>
      <c r="AE5" s="176">
        <f t="shared" ref="AE5:AF20" si="18">+AD5*D5</f>
        <v>56202397.710852273</v>
      </c>
      <c r="AF5" s="177">
        <f t="shared" si="18"/>
        <v>22480959.084340911</v>
      </c>
    </row>
    <row r="6" spans="1:32" ht="14.25" x14ac:dyDescent="0.2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+pronostico!K5*50%</f>
        <v>17244.187431188111</v>
      </c>
      <c r="G6" s="137">
        <f t="shared" si="13"/>
        <v>103465124.58712867</v>
      </c>
      <c r="H6" s="138">
        <f t="shared" si="13"/>
        <v>41386049.834851474</v>
      </c>
      <c r="I6" s="137">
        <f t="shared" si="14"/>
        <v>8622.0937155940555</v>
      </c>
      <c r="J6" s="139">
        <f t="shared" si="15"/>
        <v>5173.2562293564333</v>
      </c>
      <c r="K6" s="167">
        <f t="shared" si="0"/>
        <v>1724.4187431188111</v>
      </c>
      <c r="L6" s="168">
        <f t="shared" si="1"/>
        <v>1724.4187431188111</v>
      </c>
      <c r="M6" s="169">
        <f>+pronostico!K5*20%</f>
        <v>6897.6749724752444</v>
      </c>
      <c r="N6" s="170">
        <f t="shared" si="2"/>
        <v>41386049.834851466</v>
      </c>
      <c r="O6" s="171">
        <f t="shared" si="3"/>
        <v>16554419.933940588</v>
      </c>
      <c r="P6" s="170">
        <f t="shared" si="16"/>
        <v>3448.8374862376222</v>
      </c>
      <c r="Q6" s="172">
        <f t="shared" si="17"/>
        <v>3448.8374862376222</v>
      </c>
      <c r="R6" s="173">
        <f>+pronostico!K5*8%</f>
        <v>2759.069988990098</v>
      </c>
      <c r="S6" s="174">
        <f t="shared" si="4"/>
        <v>16554419.933940588</v>
      </c>
      <c r="T6" s="175">
        <f t="shared" si="5"/>
        <v>6621767.9735762356</v>
      </c>
      <c r="U6" s="173">
        <f>+pronostico!K5*8%</f>
        <v>2759.069988990098</v>
      </c>
      <c r="V6" s="176">
        <f t="shared" si="6"/>
        <v>16554419.933940588</v>
      </c>
      <c r="W6" s="177">
        <f t="shared" si="7"/>
        <v>6621767.9735762356</v>
      </c>
      <c r="X6" s="173">
        <f>+pronostico!K5*2%</f>
        <v>689.76749724752449</v>
      </c>
      <c r="Y6" s="178">
        <f t="shared" si="8"/>
        <v>4138604.9834851469</v>
      </c>
      <c r="Z6" s="178">
        <f t="shared" si="9"/>
        <v>1655441.9933940589</v>
      </c>
      <c r="AA6" s="173">
        <f>+pronostico!K5*2%</f>
        <v>689.76749724752449</v>
      </c>
      <c r="AB6" s="179">
        <f t="shared" si="10"/>
        <v>4138604.9834851469</v>
      </c>
      <c r="AC6" s="180">
        <f t="shared" si="11"/>
        <v>1655441.9933940589</v>
      </c>
      <c r="AD6" s="173">
        <f>+pronostico!K5*10%</f>
        <v>3448.8374862376222</v>
      </c>
      <c r="AE6" s="176">
        <f t="shared" si="18"/>
        <v>20693024.917425733</v>
      </c>
      <c r="AF6" s="177">
        <f t="shared" si="18"/>
        <v>8277209.9669702938</v>
      </c>
    </row>
    <row r="7" spans="1:32" ht="14.25" x14ac:dyDescent="0.2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+pronostico!K6*50%</f>
        <v>32281.118871184135</v>
      </c>
      <c r="G7" s="137">
        <f t="shared" si="13"/>
        <v>165602139.80917463</v>
      </c>
      <c r="H7" s="138">
        <f t="shared" si="13"/>
        <v>66240855.923669852</v>
      </c>
      <c r="I7" s="137">
        <f t="shared" si="14"/>
        <v>16140.559435592068</v>
      </c>
      <c r="J7" s="139">
        <f t="shared" si="15"/>
        <v>9684.3356613552405</v>
      </c>
      <c r="K7" s="167">
        <f t="shared" si="0"/>
        <v>3228.1118871184135</v>
      </c>
      <c r="L7" s="168">
        <f t="shared" si="1"/>
        <v>3228.1118871184135</v>
      </c>
      <c r="M7" s="169">
        <f>+pronostico!K6*20%</f>
        <v>12912.447548473654</v>
      </c>
      <c r="N7" s="170">
        <f t="shared" si="2"/>
        <v>66240855.923669845</v>
      </c>
      <c r="O7" s="171">
        <f t="shared" si="3"/>
        <v>26496342.36946794</v>
      </c>
      <c r="P7" s="170">
        <f t="shared" si="16"/>
        <v>6456.223774236827</v>
      </c>
      <c r="Q7" s="172">
        <f t="shared" si="17"/>
        <v>6456.223774236827</v>
      </c>
      <c r="R7" s="173">
        <f>+pronostico!K6*8%</f>
        <v>5164.9790193894614</v>
      </c>
      <c r="S7" s="174">
        <f t="shared" si="4"/>
        <v>26496342.369467936</v>
      </c>
      <c r="T7" s="175">
        <f t="shared" si="5"/>
        <v>10598536.947787175</v>
      </c>
      <c r="U7" s="173">
        <f>+pronostico!K6*8%</f>
        <v>5164.9790193894614</v>
      </c>
      <c r="V7" s="176">
        <f t="shared" si="6"/>
        <v>26496342.369467936</v>
      </c>
      <c r="W7" s="177">
        <f t="shared" si="7"/>
        <v>10598536.947787175</v>
      </c>
      <c r="X7" s="173">
        <f>+pronostico!K6*2%</f>
        <v>1291.2447548473654</v>
      </c>
      <c r="Y7" s="178">
        <f t="shared" si="8"/>
        <v>6624085.5923669841</v>
      </c>
      <c r="Z7" s="178">
        <f t="shared" si="9"/>
        <v>2649634.2369467937</v>
      </c>
      <c r="AA7" s="173">
        <f>+pronostico!K6*2%</f>
        <v>1291.2447548473654</v>
      </c>
      <c r="AB7" s="179">
        <f t="shared" si="10"/>
        <v>6624085.5923669841</v>
      </c>
      <c r="AC7" s="180">
        <f t="shared" si="11"/>
        <v>2649634.2369467937</v>
      </c>
      <c r="AD7" s="173">
        <f>+pronostico!K6*10%</f>
        <v>6456.223774236827</v>
      </c>
      <c r="AE7" s="176">
        <f t="shared" si="18"/>
        <v>33120427.961834922</v>
      </c>
      <c r="AF7" s="177">
        <f t="shared" si="18"/>
        <v>13248171.18473397</v>
      </c>
    </row>
    <row r="8" spans="1:32" ht="14.25" x14ac:dyDescent="0.2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+pronostico!K7*50%</f>
        <v>23770.371508864435</v>
      </c>
      <c r="G8" s="137">
        <f t="shared" si="13"/>
        <v>203236676.40079093</v>
      </c>
      <c r="H8" s="138">
        <f t="shared" si="13"/>
        <v>81294670.560316384</v>
      </c>
      <c r="I8" s="137">
        <f t="shared" si="14"/>
        <v>11885.185754432217</v>
      </c>
      <c r="J8" s="139">
        <f t="shared" si="15"/>
        <v>7131.1114526593301</v>
      </c>
      <c r="K8" s="167">
        <f t="shared" si="0"/>
        <v>2377.0371508864437</v>
      </c>
      <c r="L8" s="168">
        <f t="shared" si="1"/>
        <v>2377.0371508864437</v>
      </c>
      <c r="M8" s="169">
        <f>+pronostico!K7*20%</f>
        <v>9508.1486035457747</v>
      </c>
      <c r="N8" s="170">
        <f t="shared" si="2"/>
        <v>81294670.560316369</v>
      </c>
      <c r="O8" s="171">
        <f t="shared" si="3"/>
        <v>32517868.224126548</v>
      </c>
      <c r="P8" s="170">
        <f t="shared" si="16"/>
        <v>4754.0743017728873</v>
      </c>
      <c r="Q8" s="172">
        <f t="shared" si="17"/>
        <v>4754.0743017728873</v>
      </c>
      <c r="R8" s="173">
        <f>+pronostico!K7*8%</f>
        <v>3803.2594414183095</v>
      </c>
      <c r="S8" s="174">
        <f t="shared" si="4"/>
        <v>32517868.224126548</v>
      </c>
      <c r="T8" s="175">
        <f t="shared" si="5"/>
        <v>13007147.289650619</v>
      </c>
      <c r="U8" s="173">
        <f>+pronostico!K7*8%</f>
        <v>3803.2594414183095</v>
      </c>
      <c r="V8" s="176">
        <f t="shared" si="6"/>
        <v>32517868.224126548</v>
      </c>
      <c r="W8" s="177">
        <f t="shared" si="7"/>
        <v>13007147.289650619</v>
      </c>
      <c r="X8" s="173">
        <f>+pronostico!K7*2%</f>
        <v>950.81486035457738</v>
      </c>
      <c r="Y8" s="178">
        <f t="shared" si="8"/>
        <v>8129467.0560316369</v>
      </c>
      <c r="Z8" s="178">
        <f t="shared" si="9"/>
        <v>3251786.8224126548</v>
      </c>
      <c r="AA8" s="173">
        <f>+pronostico!K7*2%</f>
        <v>950.81486035457738</v>
      </c>
      <c r="AB8" s="179">
        <f t="shared" si="10"/>
        <v>8129467.0560316369</v>
      </c>
      <c r="AC8" s="180">
        <f t="shared" si="11"/>
        <v>3251786.8224126548</v>
      </c>
      <c r="AD8" s="173">
        <f>+pronostico!K7*10%</f>
        <v>4754.0743017728873</v>
      </c>
      <c r="AE8" s="176">
        <f t="shared" si="18"/>
        <v>40647335.280158184</v>
      </c>
      <c r="AF8" s="177">
        <f t="shared" si="18"/>
        <v>16258934.112063274</v>
      </c>
    </row>
    <row r="9" spans="1:32" ht="14.25" x14ac:dyDescent="0.2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+pronostico!K8*50%</f>
        <v>26586.762988966035</v>
      </c>
      <c r="G9" s="137">
        <f t="shared" si="13"/>
        <v>268526306.18855697</v>
      </c>
      <c r="H9" s="138">
        <f t="shared" si="13"/>
        <v>107410522.4754228</v>
      </c>
      <c r="I9" s="137">
        <f t="shared" si="14"/>
        <v>13293.381494483017</v>
      </c>
      <c r="J9" s="139">
        <f t="shared" si="15"/>
        <v>7976.0288966898097</v>
      </c>
      <c r="K9" s="167">
        <f t="shared" si="0"/>
        <v>2658.6762988966038</v>
      </c>
      <c r="L9" s="168">
        <f t="shared" si="1"/>
        <v>2658.6762988966038</v>
      </c>
      <c r="M9" s="169">
        <f>+pronostico!K8*20%</f>
        <v>10634.705195586415</v>
      </c>
      <c r="N9" s="170">
        <f t="shared" si="2"/>
        <v>107410522.4754228</v>
      </c>
      <c r="O9" s="171">
        <f t="shared" si="3"/>
        <v>42964208.990169123</v>
      </c>
      <c r="P9" s="170">
        <f t="shared" si="16"/>
        <v>5317.3525977932077</v>
      </c>
      <c r="Q9" s="172">
        <f t="shared" si="17"/>
        <v>5317.3525977932077</v>
      </c>
      <c r="R9" s="173">
        <f>+pronostico!K8*8%</f>
        <v>4253.8820782345656</v>
      </c>
      <c r="S9" s="174">
        <f t="shared" si="4"/>
        <v>42964208.990169115</v>
      </c>
      <c r="T9" s="175">
        <f t="shared" si="5"/>
        <v>17185683.596067648</v>
      </c>
      <c r="U9" s="173">
        <f>+pronostico!K8*8%</f>
        <v>4253.8820782345656</v>
      </c>
      <c r="V9" s="176">
        <f t="shared" si="6"/>
        <v>42964208.990169115</v>
      </c>
      <c r="W9" s="177">
        <f t="shared" si="7"/>
        <v>17185683.596067648</v>
      </c>
      <c r="X9" s="173">
        <f>+pronostico!K8*2%</f>
        <v>1063.4705195586414</v>
      </c>
      <c r="Y9" s="178">
        <f t="shared" si="8"/>
        <v>10741052.247542279</v>
      </c>
      <c r="Z9" s="178">
        <f t="shared" si="9"/>
        <v>4296420.8990169121</v>
      </c>
      <c r="AA9" s="173">
        <f>+pronostico!K8*2%</f>
        <v>1063.4705195586414</v>
      </c>
      <c r="AB9" s="179">
        <f t="shared" si="10"/>
        <v>10741052.247542279</v>
      </c>
      <c r="AC9" s="180">
        <f t="shared" si="11"/>
        <v>4296420.8990169121</v>
      </c>
      <c r="AD9" s="173">
        <f>+pronostico!K8*10%</f>
        <v>5317.3525977932077</v>
      </c>
      <c r="AE9" s="176">
        <f t="shared" si="18"/>
        <v>53705261.2377114</v>
      </c>
      <c r="AF9" s="177">
        <f t="shared" si="18"/>
        <v>21482104.495084561</v>
      </c>
    </row>
    <row r="10" spans="1:32" ht="14.25" x14ac:dyDescent="0.2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+pronostico!K9*50%</f>
        <v>32467.955104857811</v>
      </c>
      <c r="G10" s="137">
        <f t="shared" si="13"/>
        <v>75975014.945367277</v>
      </c>
      <c r="H10" s="138">
        <f t="shared" si="13"/>
        <v>37987507.472683638</v>
      </c>
      <c r="I10" s="137">
        <f t="shared" si="14"/>
        <v>16233.977552428905</v>
      </c>
      <c r="J10" s="139">
        <f t="shared" si="15"/>
        <v>9740.3865314573432</v>
      </c>
      <c r="K10" s="167">
        <f t="shared" si="0"/>
        <v>3246.7955104857811</v>
      </c>
      <c r="L10" s="168">
        <f t="shared" si="1"/>
        <v>3246.7955104857811</v>
      </c>
      <c r="M10" s="169">
        <f>+pronostico!K9*20%</f>
        <v>12987.182041943124</v>
      </c>
      <c r="N10" s="170">
        <f t="shared" si="2"/>
        <v>30390005.978146911</v>
      </c>
      <c r="O10" s="171">
        <f t="shared" si="3"/>
        <v>15195002.989073455</v>
      </c>
      <c r="P10" s="170">
        <f t="shared" si="16"/>
        <v>6493.5910209715621</v>
      </c>
      <c r="Q10" s="172">
        <f t="shared" si="17"/>
        <v>6493.5910209715621</v>
      </c>
      <c r="R10" s="173">
        <f>+pronostico!K9*8%</f>
        <v>5194.8728167772497</v>
      </c>
      <c r="S10" s="174">
        <f t="shared" si="4"/>
        <v>12156002.391258765</v>
      </c>
      <c r="T10" s="175">
        <f t="shared" si="5"/>
        <v>6078001.1956293825</v>
      </c>
      <c r="U10" s="173">
        <f>+pronostico!K9*8%</f>
        <v>5194.8728167772497</v>
      </c>
      <c r="V10" s="176">
        <f t="shared" si="6"/>
        <v>12156002.391258765</v>
      </c>
      <c r="W10" s="177">
        <f t="shared" si="7"/>
        <v>6078001.1956293825</v>
      </c>
      <c r="X10" s="173">
        <f>+pronostico!K9*2%</f>
        <v>1298.7182041943124</v>
      </c>
      <c r="Y10" s="178">
        <f t="shared" si="8"/>
        <v>3039000.5978146913</v>
      </c>
      <c r="Z10" s="178">
        <f t="shared" si="9"/>
        <v>1519500.2989073456</v>
      </c>
      <c r="AA10" s="173">
        <f>+pronostico!K9*2%</f>
        <v>1298.7182041943124</v>
      </c>
      <c r="AB10" s="179">
        <f t="shared" si="10"/>
        <v>3039000.5978146913</v>
      </c>
      <c r="AC10" s="180">
        <f t="shared" si="11"/>
        <v>1519500.2989073456</v>
      </c>
      <c r="AD10" s="173">
        <f>+pronostico!K9*10%</f>
        <v>6493.5910209715621</v>
      </c>
      <c r="AE10" s="176">
        <f t="shared" si="18"/>
        <v>15195002.989073455</v>
      </c>
      <c r="AF10" s="177">
        <f t="shared" si="18"/>
        <v>7597501.4945367277</v>
      </c>
    </row>
    <row r="11" spans="1:32" ht="14.25" x14ac:dyDescent="0.2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+pronostico!K10*50%</f>
        <v>13721.193216285314</v>
      </c>
      <c r="G11" s="137">
        <f t="shared" si="13"/>
        <v>32107592.126107633</v>
      </c>
      <c r="H11" s="138">
        <f t="shared" si="13"/>
        <v>16053796.063053817</v>
      </c>
      <c r="I11" s="137">
        <f t="shared" si="14"/>
        <v>6860.5966081426568</v>
      </c>
      <c r="J11" s="139">
        <f t="shared" si="15"/>
        <v>4116.3579648855939</v>
      </c>
      <c r="K11" s="167">
        <f t="shared" si="0"/>
        <v>1372.1193216285315</v>
      </c>
      <c r="L11" s="168">
        <f t="shared" si="1"/>
        <v>1372.1193216285315</v>
      </c>
      <c r="M11" s="169">
        <f>+pronostico!K10*20%</f>
        <v>5488.4772865141258</v>
      </c>
      <c r="N11" s="170">
        <f t="shared" si="2"/>
        <v>12843036.850443054</v>
      </c>
      <c r="O11" s="171">
        <f t="shared" si="3"/>
        <v>6421518.425221527</v>
      </c>
      <c r="P11" s="170">
        <f t="shared" si="16"/>
        <v>2744.2386432570629</v>
      </c>
      <c r="Q11" s="172">
        <f t="shared" si="17"/>
        <v>2744.2386432570629</v>
      </c>
      <c r="R11" s="173">
        <f>+pronostico!K10*8%</f>
        <v>2195.3909146056503</v>
      </c>
      <c r="S11" s="174">
        <f t="shared" si="4"/>
        <v>5137214.7401772216</v>
      </c>
      <c r="T11" s="175">
        <f t="shared" si="5"/>
        <v>2568607.3700886108</v>
      </c>
      <c r="U11" s="173">
        <f>+pronostico!K10*8%</f>
        <v>2195.3909146056503</v>
      </c>
      <c r="V11" s="176">
        <f t="shared" si="6"/>
        <v>5137214.7401772216</v>
      </c>
      <c r="W11" s="177">
        <f t="shared" si="7"/>
        <v>2568607.3700886108</v>
      </c>
      <c r="X11" s="173">
        <f>+pronostico!K10*2%</f>
        <v>548.84772865141258</v>
      </c>
      <c r="Y11" s="178">
        <f t="shared" si="8"/>
        <v>1284303.6850443054</v>
      </c>
      <c r="Z11" s="178">
        <f t="shared" si="9"/>
        <v>642151.8425221527</v>
      </c>
      <c r="AA11" s="173">
        <f>+pronostico!K10*2%</f>
        <v>548.84772865141258</v>
      </c>
      <c r="AB11" s="179">
        <f t="shared" si="10"/>
        <v>1284303.6850443054</v>
      </c>
      <c r="AC11" s="180">
        <f t="shared" si="11"/>
        <v>642151.8425221527</v>
      </c>
      <c r="AD11" s="173">
        <f>+pronostico!K10*10%</f>
        <v>2744.2386432570629</v>
      </c>
      <c r="AE11" s="176">
        <f t="shared" si="18"/>
        <v>6421518.425221527</v>
      </c>
      <c r="AF11" s="177">
        <f t="shared" si="18"/>
        <v>3210759.2126107635</v>
      </c>
    </row>
    <row r="12" spans="1:32" ht="14.25" x14ac:dyDescent="0.2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+pronostico!K11*50%</f>
        <v>54402.489876147236</v>
      </c>
      <c r="G12" s="137">
        <f t="shared" si="13"/>
        <v>121861577.3225698</v>
      </c>
      <c r="H12" s="138">
        <f t="shared" si="13"/>
        <v>60930788.661284901</v>
      </c>
      <c r="I12" s="137">
        <f t="shared" si="14"/>
        <v>27201.244938073618</v>
      </c>
      <c r="J12" s="139">
        <f t="shared" si="15"/>
        <v>16320.74696284417</v>
      </c>
      <c r="K12" s="167">
        <f t="shared" si="0"/>
        <v>5440.2489876147238</v>
      </c>
      <c r="L12" s="168">
        <f t="shared" si="1"/>
        <v>5440.2489876147238</v>
      </c>
      <c r="M12" s="169">
        <f>+pronostico!K11*20%</f>
        <v>21760.995950458895</v>
      </c>
      <c r="N12" s="170">
        <f t="shared" si="2"/>
        <v>48744630.929027922</v>
      </c>
      <c r="O12" s="171">
        <f t="shared" si="3"/>
        <v>24372315.464513961</v>
      </c>
      <c r="P12" s="170">
        <f t="shared" si="16"/>
        <v>10880.497975229448</v>
      </c>
      <c r="Q12" s="172">
        <f t="shared" si="17"/>
        <v>10880.497975229448</v>
      </c>
      <c r="R12" s="173">
        <f>+pronostico!K11*8%</f>
        <v>8704.3983801835584</v>
      </c>
      <c r="S12" s="174">
        <f t="shared" si="4"/>
        <v>19497852.37161117</v>
      </c>
      <c r="T12" s="175">
        <f t="shared" si="5"/>
        <v>9748926.1858055852</v>
      </c>
      <c r="U12" s="173">
        <f>+pronostico!K11*8%</f>
        <v>8704.3983801835584</v>
      </c>
      <c r="V12" s="176">
        <f t="shared" si="6"/>
        <v>19497852.37161117</v>
      </c>
      <c r="W12" s="177">
        <f t="shared" si="7"/>
        <v>9748926.1858055852</v>
      </c>
      <c r="X12" s="173">
        <f>+pronostico!K11*2%</f>
        <v>2176.0995950458896</v>
      </c>
      <c r="Y12" s="178">
        <f t="shared" si="8"/>
        <v>4874463.0929027926</v>
      </c>
      <c r="Z12" s="178">
        <f t="shared" si="9"/>
        <v>2437231.5464513963</v>
      </c>
      <c r="AA12" s="173">
        <f>+pronostico!K11*2%</f>
        <v>2176.0995950458896</v>
      </c>
      <c r="AB12" s="179">
        <f t="shared" si="10"/>
        <v>4874463.0929027926</v>
      </c>
      <c r="AC12" s="180">
        <f t="shared" si="11"/>
        <v>2437231.5464513963</v>
      </c>
      <c r="AD12" s="173">
        <f>+pronostico!K11*10%</f>
        <v>10880.497975229448</v>
      </c>
      <c r="AE12" s="176">
        <f t="shared" si="18"/>
        <v>24372315.464513961</v>
      </c>
      <c r="AF12" s="177">
        <f t="shared" si="18"/>
        <v>12186157.732256981</v>
      </c>
    </row>
    <row r="13" spans="1:32" ht="14.25" x14ac:dyDescent="0.2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+pronostico!K12*50%</f>
        <v>44491.816631726913</v>
      </c>
      <c r="G13" s="137">
        <f t="shared" si="13"/>
        <v>102331178.2529719</v>
      </c>
      <c r="H13" s="138">
        <f t="shared" si="13"/>
        <v>51165589.126485951</v>
      </c>
      <c r="I13" s="137">
        <f t="shared" si="14"/>
        <v>22245.908315863457</v>
      </c>
      <c r="J13" s="139">
        <f t="shared" si="15"/>
        <v>13347.544989518074</v>
      </c>
      <c r="K13" s="167">
        <f t="shared" si="0"/>
        <v>4449.1816631726915</v>
      </c>
      <c r="L13" s="168">
        <f t="shared" si="1"/>
        <v>4449.1816631726915</v>
      </c>
      <c r="M13" s="169">
        <f>+pronostico!K12*20%</f>
        <v>17796.726652690766</v>
      </c>
      <c r="N13" s="170">
        <f t="shared" si="2"/>
        <v>40932471.30118876</v>
      </c>
      <c r="O13" s="171">
        <f t="shared" si="3"/>
        <v>20466235.65059438</v>
      </c>
      <c r="P13" s="170">
        <f t="shared" si="16"/>
        <v>8898.363326345383</v>
      </c>
      <c r="Q13" s="172">
        <f t="shared" si="17"/>
        <v>8898.363326345383</v>
      </c>
      <c r="R13" s="173">
        <f>+pronostico!K12*8%</f>
        <v>7118.6906610763062</v>
      </c>
      <c r="S13" s="174">
        <f t="shared" si="4"/>
        <v>16372988.520475505</v>
      </c>
      <c r="T13" s="175">
        <f t="shared" si="5"/>
        <v>8186494.2602377525</v>
      </c>
      <c r="U13" s="173">
        <f>+pronostico!K12*8%</f>
        <v>7118.6906610763062</v>
      </c>
      <c r="V13" s="176">
        <f t="shared" si="6"/>
        <v>16372988.520475505</v>
      </c>
      <c r="W13" s="177">
        <f t="shared" si="7"/>
        <v>8186494.2602377525</v>
      </c>
      <c r="X13" s="173">
        <f>+pronostico!K12*2%</f>
        <v>1779.6726652690766</v>
      </c>
      <c r="Y13" s="178">
        <f t="shared" si="8"/>
        <v>4093247.1301188762</v>
      </c>
      <c r="Z13" s="178">
        <f t="shared" si="9"/>
        <v>2046623.5650594381</v>
      </c>
      <c r="AA13" s="173">
        <f>+pronostico!K12*2%</f>
        <v>1779.6726652690766</v>
      </c>
      <c r="AB13" s="179">
        <f t="shared" si="10"/>
        <v>4093247.1301188762</v>
      </c>
      <c r="AC13" s="180">
        <f t="shared" si="11"/>
        <v>2046623.5650594381</v>
      </c>
      <c r="AD13" s="173">
        <f>+pronostico!K12*10%</f>
        <v>8898.363326345383</v>
      </c>
      <c r="AE13" s="176">
        <f t="shared" si="18"/>
        <v>20466235.65059438</v>
      </c>
      <c r="AF13" s="177">
        <f t="shared" si="18"/>
        <v>10233117.82529719</v>
      </c>
    </row>
    <row r="14" spans="1:32" ht="14.25" x14ac:dyDescent="0.2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+pronostico!K13*50%</f>
        <v>28715.558168221924</v>
      </c>
      <c r="G14" s="137">
        <f t="shared" si="13"/>
        <v>36181603.291959621</v>
      </c>
      <c r="H14" s="138">
        <f t="shared" si="13"/>
        <v>18090801.645979811</v>
      </c>
      <c r="I14" s="137">
        <f t="shared" si="14"/>
        <v>14357.779084110962</v>
      </c>
      <c r="J14" s="139">
        <f t="shared" si="15"/>
        <v>8614.6674504665771</v>
      </c>
      <c r="K14" s="167">
        <f t="shared" si="0"/>
        <v>2871.5558168221924</v>
      </c>
      <c r="L14" s="168">
        <f t="shared" si="1"/>
        <v>2871.5558168221924</v>
      </c>
      <c r="M14" s="169">
        <f>+pronostico!K13*20%</f>
        <v>11486.223267288769</v>
      </c>
      <c r="N14" s="170">
        <f t="shared" si="2"/>
        <v>14472641.316783849</v>
      </c>
      <c r="O14" s="171">
        <f t="shared" si="3"/>
        <v>7236320.6583919246</v>
      </c>
      <c r="P14" s="170">
        <f t="shared" si="16"/>
        <v>5743.1116336443847</v>
      </c>
      <c r="Q14" s="172">
        <f t="shared" si="17"/>
        <v>5743.1116336443847</v>
      </c>
      <c r="R14" s="173">
        <f>+pronostico!K13*8%</f>
        <v>4594.4893069155078</v>
      </c>
      <c r="S14" s="174">
        <f t="shared" si="4"/>
        <v>5789056.5267135398</v>
      </c>
      <c r="T14" s="175">
        <f t="shared" si="5"/>
        <v>2894528.2633567699</v>
      </c>
      <c r="U14" s="173">
        <f>+pronostico!K13*8%</f>
        <v>4594.4893069155078</v>
      </c>
      <c r="V14" s="176">
        <f t="shared" si="6"/>
        <v>5789056.5267135398</v>
      </c>
      <c r="W14" s="177">
        <f t="shared" si="7"/>
        <v>2894528.2633567699</v>
      </c>
      <c r="X14" s="173">
        <f>+pronostico!K13*2%</f>
        <v>1148.6223267288769</v>
      </c>
      <c r="Y14" s="178">
        <f t="shared" si="8"/>
        <v>1447264.131678385</v>
      </c>
      <c r="Z14" s="178">
        <f t="shared" si="9"/>
        <v>723632.06583919248</v>
      </c>
      <c r="AA14" s="173">
        <f>+pronostico!K13*2%</f>
        <v>1148.6223267288769</v>
      </c>
      <c r="AB14" s="179">
        <f t="shared" si="10"/>
        <v>1447264.131678385</v>
      </c>
      <c r="AC14" s="180">
        <f t="shared" si="11"/>
        <v>723632.06583919248</v>
      </c>
      <c r="AD14" s="173">
        <f>+pronostico!K13*10%</f>
        <v>5743.1116336443847</v>
      </c>
      <c r="AE14" s="176">
        <f t="shared" si="18"/>
        <v>7236320.6583919246</v>
      </c>
      <c r="AF14" s="177">
        <f t="shared" si="18"/>
        <v>3618160.3291959623</v>
      </c>
    </row>
    <row r="15" spans="1:32" ht="14.25" x14ac:dyDescent="0.2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+pronostico!K14*50%</f>
        <v>22529.604191742284</v>
      </c>
      <c r="G15" s="137">
        <f t="shared" si="13"/>
        <v>28387301.281595279</v>
      </c>
      <c r="H15" s="138">
        <f t="shared" si="13"/>
        <v>14193650.640797639</v>
      </c>
      <c r="I15" s="137">
        <f t="shared" si="14"/>
        <v>11264.802095871142</v>
      </c>
      <c r="J15" s="139">
        <f t="shared" si="15"/>
        <v>6758.8812575226848</v>
      </c>
      <c r="K15" s="167">
        <f t="shared" si="0"/>
        <v>2252.9604191742287</v>
      </c>
      <c r="L15" s="168">
        <f t="shared" si="1"/>
        <v>2252.9604191742287</v>
      </c>
      <c r="M15" s="169">
        <f>+pronostico!K14*20%</f>
        <v>9011.8416766969149</v>
      </c>
      <c r="N15" s="170">
        <f t="shared" si="2"/>
        <v>11354920.512638113</v>
      </c>
      <c r="O15" s="171">
        <f t="shared" si="3"/>
        <v>5677460.2563190563</v>
      </c>
      <c r="P15" s="170">
        <f t="shared" si="16"/>
        <v>4505.9208383484574</v>
      </c>
      <c r="Q15" s="172">
        <f t="shared" si="17"/>
        <v>4505.9208383484574</v>
      </c>
      <c r="R15" s="173">
        <f>+pronostico!K14*8%</f>
        <v>3604.7366706787657</v>
      </c>
      <c r="S15" s="174">
        <f t="shared" si="4"/>
        <v>4541968.2050552452</v>
      </c>
      <c r="T15" s="175">
        <f t="shared" si="5"/>
        <v>2270984.1025276226</v>
      </c>
      <c r="U15" s="173">
        <f>+pronostico!K14*8%</f>
        <v>3604.7366706787657</v>
      </c>
      <c r="V15" s="176">
        <f t="shared" si="6"/>
        <v>4541968.2050552452</v>
      </c>
      <c r="W15" s="177">
        <f t="shared" si="7"/>
        <v>2270984.1025276226</v>
      </c>
      <c r="X15" s="173">
        <f>+pronostico!K14*2%</f>
        <v>901.18416766969142</v>
      </c>
      <c r="Y15" s="178">
        <f t="shared" si="8"/>
        <v>1135492.0512638113</v>
      </c>
      <c r="Z15" s="178">
        <f t="shared" si="9"/>
        <v>567746.02563190565</v>
      </c>
      <c r="AA15" s="173">
        <f>+pronostico!K14*2%</f>
        <v>901.18416766969142</v>
      </c>
      <c r="AB15" s="179">
        <f t="shared" si="10"/>
        <v>1135492.0512638113</v>
      </c>
      <c r="AC15" s="180">
        <f t="shared" si="11"/>
        <v>567746.02563190565</v>
      </c>
      <c r="AD15" s="173">
        <f>+pronostico!K14*10%</f>
        <v>4505.9208383484574</v>
      </c>
      <c r="AE15" s="176">
        <f t="shared" si="18"/>
        <v>5677460.2563190563</v>
      </c>
      <c r="AF15" s="177">
        <f t="shared" si="18"/>
        <v>2838730.1281595281</v>
      </c>
    </row>
    <row r="16" spans="1:32" ht="14.25" x14ac:dyDescent="0.2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+pronostico!K15*50%</f>
        <v>32936.399248370195</v>
      </c>
      <c r="G16" s="137">
        <f t="shared" si="13"/>
        <v>89257641.963083223</v>
      </c>
      <c r="H16" s="138">
        <f t="shared" si="13"/>
        <v>44628820.981541611</v>
      </c>
      <c r="I16" s="137">
        <f t="shared" si="14"/>
        <v>16468.199624185097</v>
      </c>
      <c r="J16" s="139">
        <f t="shared" si="15"/>
        <v>9880.9197745110578</v>
      </c>
      <c r="K16" s="167">
        <f t="shared" si="0"/>
        <v>3293.6399248370199</v>
      </c>
      <c r="L16" s="168">
        <f t="shared" si="1"/>
        <v>3293.6399248370199</v>
      </c>
      <c r="M16" s="169">
        <f>+pronostico!K15*20%</f>
        <v>13174.559699348079</v>
      </c>
      <c r="N16" s="170">
        <f t="shared" si="2"/>
        <v>35703056.785233296</v>
      </c>
      <c r="O16" s="171">
        <f t="shared" si="3"/>
        <v>17851528.392616648</v>
      </c>
      <c r="P16" s="170">
        <f t="shared" si="16"/>
        <v>6587.2798496740397</v>
      </c>
      <c r="Q16" s="172">
        <f t="shared" si="17"/>
        <v>6587.2798496740397</v>
      </c>
      <c r="R16" s="173">
        <f>+pronostico!K15*8%</f>
        <v>5269.8238797392314</v>
      </c>
      <c r="S16" s="174">
        <f t="shared" si="4"/>
        <v>14281222.714093316</v>
      </c>
      <c r="T16" s="175">
        <f t="shared" si="5"/>
        <v>7140611.3570466582</v>
      </c>
      <c r="U16" s="173">
        <f>+pronostico!K15*8%</f>
        <v>5269.8238797392314</v>
      </c>
      <c r="V16" s="176">
        <f t="shared" si="6"/>
        <v>14281222.714093316</v>
      </c>
      <c r="W16" s="177">
        <f t="shared" si="7"/>
        <v>7140611.3570466582</v>
      </c>
      <c r="X16" s="173">
        <f>+pronostico!K15*2%</f>
        <v>1317.4559699348079</v>
      </c>
      <c r="Y16" s="178">
        <f t="shared" si="8"/>
        <v>3570305.6785233291</v>
      </c>
      <c r="Z16" s="178">
        <f t="shared" si="9"/>
        <v>1785152.8392616645</v>
      </c>
      <c r="AA16" s="173">
        <f>+pronostico!K15*2%</f>
        <v>1317.4559699348079</v>
      </c>
      <c r="AB16" s="179">
        <f t="shared" si="10"/>
        <v>3570305.6785233291</v>
      </c>
      <c r="AC16" s="180">
        <f t="shared" si="11"/>
        <v>1785152.8392616645</v>
      </c>
      <c r="AD16" s="173">
        <f>+pronostico!K15*10%</f>
        <v>6587.2798496740397</v>
      </c>
      <c r="AE16" s="176">
        <f t="shared" si="18"/>
        <v>17851528.392616648</v>
      </c>
      <c r="AF16" s="177">
        <f t="shared" si="18"/>
        <v>8925764.1963083241</v>
      </c>
    </row>
    <row r="17" spans="1:32" ht="14.25" x14ac:dyDescent="0.2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+pronostico!K16*50%</f>
        <v>32452.04043589413</v>
      </c>
      <c r="G17" s="137">
        <f t="shared" si="13"/>
        <v>48029019.845123313</v>
      </c>
      <c r="H17" s="138">
        <f t="shared" si="13"/>
        <v>24014509.922561657</v>
      </c>
      <c r="I17" s="137">
        <f t="shared" si="14"/>
        <v>16226.020217947065</v>
      </c>
      <c r="J17" s="139">
        <f t="shared" si="15"/>
        <v>9735.6121307682388</v>
      </c>
      <c r="K17" s="167">
        <f t="shared" si="0"/>
        <v>3245.2040435894132</v>
      </c>
      <c r="L17" s="168">
        <f t="shared" si="1"/>
        <v>3245.2040435894132</v>
      </c>
      <c r="M17" s="169">
        <f>+pronostico!K16*20%</f>
        <v>12980.816174357653</v>
      </c>
      <c r="N17" s="170">
        <f t="shared" si="2"/>
        <v>19211607.938049328</v>
      </c>
      <c r="O17" s="171">
        <f t="shared" si="3"/>
        <v>9605803.9690246638</v>
      </c>
      <c r="P17" s="170">
        <f t="shared" si="16"/>
        <v>6490.4080871788265</v>
      </c>
      <c r="Q17" s="172">
        <f t="shared" si="17"/>
        <v>6490.4080871788265</v>
      </c>
      <c r="R17" s="173">
        <f>+pronostico!K16*8%</f>
        <v>5192.3264697430614</v>
      </c>
      <c r="S17" s="174">
        <f t="shared" si="4"/>
        <v>7684643.1752197305</v>
      </c>
      <c r="T17" s="175">
        <f t="shared" si="5"/>
        <v>3842321.5876098652</v>
      </c>
      <c r="U17" s="173">
        <f>+pronostico!K16*8%</f>
        <v>5192.3264697430614</v>
      </c>
      <c r="V17" s="176">
        <f t="shared" si="6"/>
        <v>7684643.1752197305</v>
      </c>
      <c r="W17" s="177">
        <f t="shared" si="7"/>
        <v>3842321.5876098652</v>
      </c>
      <c r="X17" s="173">
        <f>+pronostico!K16*2%</f>
        <v>1298.0816174357653</v>
      </c>
      <c r="Y17" s="178">
        <f t="shared" si="8"/>
        <v>1921160.7938049326</v>
      </c>
      <c r="Z17" s="178">
        <f t="shared" si="9"/>
        <v>960580.39690246631</v>
      </c>
      <c r="AA17" s="173">
        <f>+pronostico!K16*2%</f>
        <v>1298.0816174357653</v>
      </c>
      <c r="AB17" s="179">
        <f t="shared" si="10"/>
        <v>1921160.7938049326</v>
      </c>
      <c r="AC17" s="180">
        <f t="shared" si="11"/>
        <v>960580.39690246631</v>
      </c>
      <c r="AD17" s="173">
        <f>+pronostico!K16*10%</f>
        <v>6490.4080871788265</v>
      </c>
      <c r="AE17" s="176">
        <f t="shared" si="18"/>
        <v>9605803.9690246638</v>
      </c>
      <c r="AF17" s="177">
        <f t="shared" si="18"/>
        <v>4802901.9845123319</v>
      </c>
    </row>
    <row r="18" spans="1:32" ht="14.25" x14ac:dyDescent="0.2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+pronostico!K17*50%</f>
        <v>68282.808229499991</v>
      </c>
      <c r="G18" s="137">
        <f t="shared" si="13"/>
        <v>161147427.42161998</v>
      </c>
      <c r="H18" s="138">
        <f t="shared" si="13"/>
        <v>80573713.710809991</v>
      </c>
      <c r="I18" s="137">
        <f t="shared" si="14"/>
        <v>34141.404114749996</v>
      </c>
      <c r="J18" s="139">
        <f t="shared" si="15"/>
        <v>20484.842468849998</v>
      </c>
      <c r="K18" s="167">
        <f t="shared" si="0"/>
        <v>6828.2808229499997</v>
      </c>
      <c r="L18" s="168">
        <f t="shared" si="1"/>
        <v>6828.2808229499997</v>
      </c>
      <c r="M18" s="169">
        <f>+pronostico!K17*20%</f>
        <v>27313.123291799999</v>
      </c>
      <c r="N18" s="170">
        <f t="shared" si="2"/>
        <v>64458970.968647994</v>
      </c>
      <c r="O18" s="171">
        <f t="shared" si="3"/>
        <v>32229485.484323997</v>
      </c>
      <c r="P18" s="170">
        <f t="shared" si="16"/>
        <v>13656.561645899999</v>
      </c>
      <c r="Q18" s="172">
        <f t="shared" si="17"/>
        <v>13656.561645899999</v>
      </c>
      <c r="R18" s="173">
        <f>+pronostico!K17*8%</f>
        <v>10925.249316719999</v>
      </c>
      <c r="S18" s="174">
        <f t="shared" si="4"/>
        <v>25783588.387459196</v>
      </c>
      <c r="T18" s="175">
        <f t="shared" si="5"/>
        <v>12891794.193729598</v>
      </c>
      <c r="U18" s="173">
        <f>+pronostico!K17*8%</f>
        <v>10925.249316719999</v>
      </c>
      <c r="V18" s="176">
        <f t="shared" si="6"/>
        <v>25783588.387459196</v>
      </c>
      <c r="W18" s="177">
        <f t="shared" si="7"/>
        <v>12891794.193729598</v>
      </c>
      <c r="X18" s="173">
        <f>+pronostico!K17*2%</f>
        <v>2731.3123291799998</v>
      </c>
      <c r="Y18" s="178">
        <f t="shared" si="8"/>
        <v>6445897.096864799</v>
      </c>
      <c r="Z18" s="178">
        <f t="shared" si="9"/>
        <v>3222948.5484323995</v>
      </c>
      <c r="AA18" s="173">
        <f>+pronostico!K17*2%</f>
        <v>2731.3123291799998</v>
      </c>
      <c r="AB18" s="179">
        <f t="shared" si="10"/>
        <v>6445897.096864799</v>
      </c>
      <c r="AC18" s="180">
        <f t="shared" si="11"/>
        <v>3222948.5484323995</v>
      </c>
      <c r="AD18" s="173">
        <f>+pronostico!K17*10%</f>
        <v>13656.561645899999</v>
      </c>
      <c r="AE18" s="176">
        <f t="shared" si="18"/>
        <v>32229485.484323997</v>
      </c>
      <c r="AF18" s="177">
        <f t="shared" si="18"/>
        <v>16114742.742161999</v>
      </c>
    </row>
    <row r="19" spans="1:32" ht="14.25" x14ac:dyDescent="0.2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+pronostico!K18*50%</f>
        <v>15942.6036045</v>
      </c>
      <c r="G19" s="137">
        <f t="shared" si="13"/>
        <v>79713018.022499993</v>
      </c>
      <c r="H19" s="138">
        <f t="shared" si="13"/>
        <v>31885207.208999999</v>
      </c>
      <c r="I19" s="137">
        <f>+F19*60%</f>
        <v>9565.5621627</v>
      </c>
      <c r="J19" s="139">
        <f t="shared" si="15"/>
        <v>4782.78108135</v>
      </c>
      <c r="K19" s="167">
        <f t="shared" si="0"/>
        <v>1594.26036045</v>
      </c>
      <c r="L19" s="168" t="s">
        <v>21</v>
      </c>
      <c r="M19" s="169">
        <f>+pronostico!K18*20%</f>
        <v>6377.0414418</v>
      </c>
      <c r="N19" s="170">
        <f t="shared" si="2"/>
        <v>31885207.208999999</v>
      </c>
      <c r="O19" s="171">
        <f t="shared" si="3"/>
        <v>12754082.8836</v>
      </c>
      <c r="P19" s="170">
        <f t="shared" si="16"/>
        <v>3188.5207209</v>
      </c>
      <c r="Q19" s="172">
        <f t="shared" si="17"/>
        <v>3188.5207209</v>
      </c>
      <c r="R19" s="173">
        <f>+pronostico!K18*8%</f>
        <v>2550.8165767200003</v>
      </c>
      <c r="S19" s="174">
        <f t="shared" si="4"/>
        <v>12754082.883600002</v>
      </c>
      <c r="T19" s="175">
        <f t="shared" si="5"/>
        <v>5101633.1534400014</v>
      </c>
      <c r="U19" s="173">
        <f>+pronostico!K18*8%</f>
        <v>2550.8165767200003</v>
      </c>
      <c r="V19" s="176">
        <f t="shared" si="6"/>
        <v>12754082.883600002</v>
      </c>
      <c r="W19" s="177">
        <f t="shared" si="7"/>
        <v>5101633.1534400014</v>
      </c>
      <c r="X19" s="173">
        <f>+pronostico!K18*2%</f>
        <v>637.70414418000007</v>
      </c>
      <c r="Y19" s="178">
        <f t="shared" si="8"/>
        <v>3188520.7209000005</v>
      </c>
      <c r="Z19" s="178">
        <f t="shared" si="9"/>
        <v>1275408.2883600004</v>
      </c>
      <c r="AA19" s="173">
        <f>+pronostico!K18*2%</f>
        <v>637.70414418000007</v>
      </c>
      <c r="AB19" s="179">
        <f t="shared" si="10"/>
        <v>3188520.7209000005</v>
      </c>
      <c r="AC19" s="180">
        <f t="shared" si="11"/>
        <v>1275408.2883600004</v>
      </c>
      <c r="AD19" s="173">
        <f>+pronostico!K18*10%</f>
        <v>3188.5207209</v>
      </c>
      <c r="AE19" s="176">
        <f t="shared" si="18"/>
        <v>15942603.604499999</v>
      </c>
      <c r="AF19" s="177">
        <f t="shared" si="18"/>
        <v>6377041.4418000001</v>
      </c>
    </row>
    <row r="20" spans="1:32" ht="14.25" x14ac:dyDescent="0.2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+pronostico!K19*50%</f>
        <v>11492.57259</v>
      </c>
      <c r="G20" s="137">
        <f t="shared" si="13"/>
        <v>41258335.598099999</v>
      </c>
      <c r="H20" s="138">
        <f t="shared" si="13"/>
        <v>16503334.23924</v>
      </c>
      <c r="I20" s="137">
        <f t="shared" si="14"/>
        <v>5746.2862949999999</v>
      </c>
      <c r="J20" s="139">
        <f t="shared" si="15"/>
        <v>3447.7717769999999</v>
      </c>
      <c r="K20" s="167">
        <f t="shared" si="0"/>
        <v>1149.257259</v>
      </c>
      <c r="L20" s="168">
        <f>+F20*10%</f>
        <v>1149.257259</v>
      </c>
      <c r="M20" s="169">
        <f>+pronostico!K19*20%</f>
        <v>4597.0290359999999</v>
      </c>
      <c r="N20" s="170">
        <f t="shared" si="2"/>
        <v>16503334.23924</v>
      </c>
      <c r="O20" s="171">
        <f t="shared" si="3"/>
        <v>6601333.695696</v>
      </c>
      <c r="P20" s="170">
        <f t="shared" si="16"/>
        <v>2298.514518</v>
      </c>
      <c r="Q20" s="172">
        <f t="shared" si="17"/>
        <v>2298.514518</v>
      </c>
      <c r="R20" s="173">
        <f>+pronostico!K19*8%</f>
        <v>1838.8116144000001</v>
      </c>
      <c r="S20" s="174">
        <f t="shared" si="4"/>
        <v>6601333.695696</v>
      </c>
      <c r="T20" s="175">
        <f t="shared" si="5"/>
        <v>2640533.4782784004</v>
      </c>
      <c r="U20" s="173">
        <f>+pronostico!K19*8%</f>
        <v>1838.8116144000001</v>
      </c>
      <c r="V20" s="176">
        <f t="shared" si="6"/>
        <v>6601333.695696</v>
      </c>
      <c r="W20" s="177">
        <f t="shared" si="7"/>
        <v>2640533.4782784004</v>
      </c>
      <c r="X20" s="173">
        <f>+pronostico!K19*2%</f>
        <v>459.70290360000001</v>
      </c>
      <c r="Y20" s="178">
        <f t="shared" si="8"/>
        <v>1650333.423924</v>
      </c>
      <c r="Z20" s="178">
        <f t="shared" si="9"/>
        <v>660133.36956960009</v>
      </c>
      <c r="AA20" s="173">
        <f>+pronostico!K19*2%</f>
        <v>459.70290360000001</v>
      </c>
      <c r="AB20" s="179">
        <f t="shared" si="10"/>
        <v>1650333.423924</v>
      </c>
      <c r="AC20" s="180">
        <f t="shared" si="11"/>
        <v>660133.36956960009</v>
      </c>
      <c r="AD20" s="173">
        <f>+pronostico!K19*10%</f>
        <v>2298.514518</v>
      </c>
      <c r="AE20" s="176">
        <f t="shared" si="18"/>
        <v>8251667.11962</v>
      </c>
      <c r="AF20" s="177">
        <f t="shared" si="18"/>
        <v>3300666.847848</v>
      </c>
    </row>
    <row r="21" spans="1:32" ht="14.25" x14ac:dyDescent="0.2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+pronostico!K20*50%</f>
        <v>10958.03433</v>
      </c>
      <c r="G21" s="137">
        <f t="shared" si="13"/>
        <v>135112563.28890002</v>
      </c>
      <c r="H21" s="138">
        <f t="shared" si="13"/>
        <v>54045025.315560013</v>
      </c>
      <c r="I21" s="137">
        <f>+F21*60%</f>
        <v>6574.8205980000002</v>
      </c>
      <c r="J21" s="139">
        <f t="shared" si="15"/>
        <v>3287.4102990000001</v>
      </c>
      <c r="K21" s="167">
        <f t="shared" si="0"/>
        <v>1095.803433</v>
      </c>
      <c r="L21" s="168" t="s">
        <v>21</v>
      </c>
      <c r="M21" s="169">
        <f>+pronostico!K20*20%</f>
        <v>4383.2137320000002</v>
      </c>
      <c r="N21" s="170">
        <f t="shared" si="2"/>
        <v>54045025.315560006</v>
      </c>
      <c r="O21" s="171">
        <f t="shared" si="3"/>
        <v>21618010.126224004</v>
      </c>
      <c r="P21" s="170">
        <f t="shared" si="16"/>
        <v>2191.6068660000001</v>
      </c>
      <c r="Q21" s="172">
        <f t="shared" si="17"/>
        <v>2191.6068660000001</v>
      </c>
      <c r="R21" s="173">
        <f>+pronostico!K20*8%</f>
        <v>1753.2854928000002</v>
      </c>
      <c r="S21" s="174">
        <f t="shared" si="4"/>
        <v>21618010.126224004</v>
      </c>
      <c r="T21" s="175">
        <f t="shared" si="5"/>
        <v>8647204.0504896026</v>
      </c>
      <c r="U21" s="173">
        <f>+pronostico!K20*8%</f>
        <v>1753.2854928000002</v>
      </c>
      <c r="V21" s="176">
        <f t="shared" si="6"/>
        <v>21618010.126224004</v>
      </c>
      <c r="W21" s="177">
        <f t="shared" si="7"/>
        <v>8647204.0504896026</v>
      </c>
      <c r="X21" s="173">
        <f>+pronostico!K20*2%</f>
        <v>438.32137320000004</v>
      </c>
      <c r="Y21" s="178">
        <f t="shared" si="8"/>
        <v>5404502.5315560009</v>
      </c>
      <c r="Z21" s="178">
        <f t="shared" si="9"/>
        <v>2161801.0126224007</v>
      </c>
      <c r="AA21" s="173">
        <f>+pronostico!K20*2%</f>
        <v>438.32137320000004</v>
      </c>
      <c r="AB21" s="179">
        <f t="shared" si="10"/>
        <v>5404502.5315560009</v>
      </c>
      <c r="AC21" s="180">
        <f t="shared" si="11"/>
        <v>2161801.0126224007</v>
      </c>
      <c r="AD21" s="173">
        <f>+pronostico!K20*10%</f>
        <v>2191.6068660000001</v>
      </c>
      <c r="AE21" s="176">
        <f t="shared" ref="AE21:AF36" si="20">+AD21*D21</f>
        <v>27022512.657780003</v>
      </c>
      <c r="AF21" s="177">
        <f t="shared" si="20"/>
        <v>10809005.063112002</v>
      </c>
    </row>
    <row r="22" spans="1:32" ht="14.25" x14ac:dyDescent="0.2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+pronostico!K21*50%</f>
        <v>9608.3252235</v>
      </c>
      <c r="G22" s="137">
        <f t="shared" si="13"/>
        <v>71870272.671780005</v>
      </c>
      <c r="H22" s="138">
        <f t="shared" si="13"/>
        <v>28748109.068712004</v>
      </c>
      <c r="I22" s="137">
        <f t="shared" ref="I22:I51" si="21">+F22*60%</f>
        <v>5764.9951340999996</v>
      </c>
      <c r="J22" s="139">
        <f t="shared" si="15"/>
        <v>2882.4975670499998</v>
      </c>
      <c r="K22" s="167">
        <f t="shared" si="0"/>
        <v>960.83252235000009</v>
      </c>
      <c r="L22" s="168" t="s">
        <v>21</v>
      </c>
      <c r="M22" s="169">
        <f>+pronostico!K21*20%</f>
        <v>3843.3300894000004</v>
      </c>
      <c r="N22" s="170">
        <f t="shared" si="2"/>
        <v>28748109.068712004</v>
      </c>
      <c r="O22" s="171">
        <f t="shared" si="3"/>
        <v>11499243.627484802</v>
      </c>
      <c r="P22" s="170">
        <f t="shared" si="16"/>
        <v>1921.6650447000002</v>
      </c>
      <c r="Q22" s="172">
        <f t="shared" si="17"/>
        <v>1921.6650447000002</v>
      </c>
      <c r="R22" s="173">
        <f>+pronostico!K21*8%</f>
        <v>1537.3320357600001</v>
      </c>
      <c r="S22" s="174">
        <f t="shared" si="4"/>
        <v>11499243.6274848</v>
      </c>
      <c r="T22" s="175">
        <f t="shared" si="5"/>
        <v>4599697.4509939207</v>
      </c>
      <c r="U22" s="173">
        <f>+pronostico!K21*8%</f>
        <v>1537.3320357600001</v>
      </c>
      <c r="V22" s="176">
        <f t="shared" si="6"/>
        <v>11499243.6274848</v>
      </c>
      <c r="W22" s="177">
        <f t="shared" si="7"/>
        <v>4599697.4509939207</v>
      </c>
      <c r="X22" s="173">
        <f>+pronostico!K21*2%</f>
        <v>384.33300894000001</v>
      </c>
      <c r="Y22" s="178">
        <f t="shared" si="8"/>
        <v>2874810.9068712001</v>
      </c>
      <c r="Z22" s="178">
        <f t="shared" si="9"/>
        <v>1149924.3627484802</v>
      </c>
      <c r="AA22" s="173">
        <f>+pronostico!K21*2%</f>
        <v>384.33300894000001</v>
      </c>
      <c r="AB22" s="179">
        <f t="shared" si="10"/>
        <v>2874810.9068712001</v>
      </c>
      <c r="AC22" s="180">
        <f t="shared" si="11"/>
        <v>1149924.3627484802</v>
      </c>
      <c r="AD22" s="173">
        <f>+pronostico!K21*10%</f>
        <v>1921.6650447000002</v>
      </c>
      <c r="AE22" s="176">
        <f t="shared" si="20"/>
        <v>14374054.534356002</v>
      </c>
      <c r="AF22" s="177">
        <f t="shared" si="20"/>
        <v>5749621.8137424011</v>
      </c>
    </row>
    <row r="23" spans="1:32" ht="14.25" x14ac:dyDescent="0.2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+pronostico!K22*50%</f>
        <v>6503.5488299999997</v>
      </c>
      <c r="G23" s="137">
        <f t="shared" si="13"/>
        <v>26664550.202999998</v>
      </c>
      <c r="H23" s="138">
        <f t="shared" si="13"/>
        <v>10665820.0812</v>
      </c>
      <c r="I23" s="137">
        <f t="shared" si="21"/>
        <v>3902.1292979999998</v>
      </c>
      <c r="J23" s="139">
        <f t="shared" si="15"/>
        <v>1951.0646489999999</v>
      </c>
      <c r="K23" s="167">
        <f t="shared" si="0"/>
        <v>650.35488299999997</v>
      </c>
      <c r="L23" s="168" t="s">
        <v>21</v>
      </c>
      <c r="M23" s="169">
        <f>+pronostico!K22*20%</f>
        <v>2601.4195319999999</v>
      </c>
      <c r="N23" s="170">
        <f t="shared" si="2"/>
        <v>10665820.0812</v>
      </c>
      <c r="O23" s="171">
        <f t="shared" si="3"/>
        <v>4266328.0324800005</v>
      </c>
      <c r="P23" s="170">
        <f t="shared" si="16"/>
        <v>1300.7097659999999</v>
      </c>
      <c r="Q23" s="172">
        <f t="shared" si="17"/>
        <v>1300.7097659999999</v>
      </c>
      <c r="R23" s="173">
        <f>+pronostico!K22*8%</f>
        <v>1040.5678128</v>
      </c>
      <c r="S23" s="174">
        <f t="shared" si="4"/>
        <v>4266328.0324799996</v>
      </c>
      <c r="T23" s="175">
        <f t="shared" si="5"/>
        <v>1706531.2129919999</v>
      </c>
      <c r="U23" s="173">
        <f>+pronostico!K22*8%</f>
        <v>1040.5678128</v>
      </c>
      <c r="V23" s="176">
        <f t="shared" si="6"/>
        <v>4266328.0324799996</v>
      </c>
      <c r="W23" s="177">
        <f t="shared" si="7"/>
        <v>1706531.2129919999</v>
      </c>
      <c r="X23" s="173">
        <f>+pronostico!K22*2%</f>
        <v>260.14195319999999</v>
      </c>
      <c r="Y23" s="178">
        <f t="shared" si="8"/>
        <v>1066582.0081199999</v>
      </c>
      <c r="Z23" s="178">
        <f t="shared" si="9"/>
        <v>426632.80324799998</v>
      </c>
      <c r="AA23" s="173">
        <f>+pronostico!K22*2%</f>
        <v>260.14195319999999</v>
      </c>
      <c r="AB23" s="179">
        <f t="shared" si="10"/>
        <v>1066582.0081199999</v>
      </c>
      <c r="AC23" s="180">
        <f t="shared" si="11"/>
        <v>426632.80324799998</v>
      </c>
      <c r="AD23" s="173">
        <f>+pronostico!K22*10%</f>
        <v>1300.7097659999999</v>
      </c>
      <c r="AE23" s="176">
        <f t="shared" si="20"/>
        <v>5332910.0405999999</v>
      </c>
      <c r="AF23" s="177">
        <f t="shared" si="20"/>
        <v>2133164.0162400003</v>
      </c>
    </row>
    <row r="24" spans="1:32" ht="14.25" x14ac:dyDescent="0.2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+pronostico!K23*50%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+pronostico!K23*20%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+pronostico!K23*8%</f>
        <v>2000</v>
      </c>
      <c r="S24" s="174">
        <f t="shared" si="4"/>
        <v>6600000</v>
      </c>
      <c r="T24" s="175">
        <f t="shared" si="5"/>
        <v>3300000</v>
      </c>
      <c r="U24" s="173">
        <f>+pronostico!K23*8%</f>
        <v>2000</v>
      </c>
      <c r="V24" s="176">
        <f t="shared" si="6"/>
        <v>6600000</v>
      </c>
      <c r="W24" s="177">
        <f t="shared" si="7"/>
        <v>3300000</v>
      </c>
      <c r="X24" s="173">
        <f>+pronostico!K23*2%</f>
        <v>500</v>
      </c>
      <c r="Y24" s="178">
        <f t="shared" si="8"/>
        <v>1650000</v>
      </c>
      <c r="Z24" s="178">
        <f t="shared" si="9"/>
        <v>825000</v>
      </c>
      <c r="AA24" s="173">
        <f>+pronostico!K23*2%</f>
        <v>500</v>
      </c>
      <c r="AB24" s="179">
        <f t="shared" si="10"/>
        <v>1650000</v>
      </c>
      <c r="AC24" s="180">
        <f t="shared" si="11"/>
        <v>825000</v>
      </c>
      <c r="AD24" s="173">
        <f>+pronostico!K23*10%</f>
        <v>2500</v>
      </c>
      <c r="AE24" s="176">
        <f t="shared" si="20"/>
        <v>8250000</v>
      </c>
      <c r="AF24" s="177">
        <f t="shared" si="20"/>
        <v>4125000</v>
      </c>
    </row>
    <row r="25" spans="1:32" ht="14.25" x14ac:dyDescent="0.2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+pronostico!K24*50%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+pronostico!K24*20%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+pronostico!K24*8%</f>
        <v>2400</v>
      </c>
      <c r="S25" s="174">
        <f t="shared" si="4"/>
        <v>7200000</v>
      </c>
      <c r="T25" s="175">
        <f t="shared" si="5"/>
        <v>3600000</v>
      </c>
      <c r="U25" s="173">
        <f>+pronostico!K24*8%</f>
        <v>2400</v>
      </c>
      <c r="V25" s="176">
        <f t="shared" si="6"/>
        <v>7200000</v>
      </c>
      <c r="W25" s="177">
        <f t="shared" si="7"/>
        <v>3600000</v>
      </c>
      <c r="X25" s="173">
        <f>+pronostico!K24*2%</f>
        <v>600</v>
      </c>
      <c r="Y25" s="178">
        <f t="shared" si="8"/>
        <v>1800000</v>
      </c>
      <c r="Z25" s="178">
        <f t="shared" si="9"/>
        <v>900000</v>
      </c>
      <c r="AA25" s="173">
        <f>+pronostico!K24*2%</f>
        <v>600</v>
      </c>
      <c r="AB25" s="179">
        <f t="shared" si="10"/>
        <v>1800000</v>
      </c>
      <c r="AC25" s="180">
        <f t="shared" si="11"/>
        <v>900000</v>
      </c>
      <c r="AD25" s="173">
        <f>+pronostico!K24*10%</f>
        <v>3000</v>
      </c>
      <c r="AE25" s="176">
        <f t="shared" si="20"/>
        <v>9000000</v>
      </c>
      <c r="AF25" s="177">
        <f t="shared" si="20"/>
        <v>4500000</v>
      </c>
    </row>
    <row r="26" spans="1:32" ht="14.25" x14ac:dyDescent="0.2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+pronostico!K25*50%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+pronostico!K25*20%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+pronostico!K25*8%</f>
        <v>3200</v>
      </c>
      <c r="S26" s="174">
        <f t="shared" si="4"/>
        <v>12160000</v>
      </c>
      <c r="T26" s="175">
        <f t="shared" si="5"/>
        <v>4864000</v>
      </c>
      <c r="U26" s="173">
        <f>+pronostico!K25*8%</f>
        <v>3200</v>
      </c>
      <c r="V26" s="176">
        <f t="shared" si="6"/>
        <v>12160000</v>
      </c>
      <c r="W26" s="177">
        <f t="shared" si="7"/>
        <v>4864000</v>
      </c>
      <c r="X26" s="173">
        <f>+pronostico!K25*2%</f>
        <v>800</v>
      </c>
      <c r="Y26" s="178">
        <f t="shared" si="8"/>
        <v>3040000</v>
      </c>
      <c r="Z26" s="178">
        <f t="shared" si="9"/>
        <v>1216000</v>
      </c>
      <c r="AA26" s="173">
        <f>+pronostico!K25*2%</f>
        <v>800</v>
      </c>
      <c r="AB26" s="179">
        <f t="shared" si="10"/>
        <v>3040000</v>
      </c>
      <c r="AC26" s="180">
        <f t="shared" si="11"/>
        <v>1216000</v>
      </c>
      <c r="AD26" s="173">
        <f>+pronostico!K25*10%</f>
        <v>4000</v>
      </c>
      <c r="AE26" s="176">
        <f t="shared" si="20"/>
        <v>15200000</v>
      </c>
      <c r="AF26" s="177">
        <f t="shared" si="20"/>
        <v>6080000</v>
      </c>
    </row>
    <row r="27" spans="1:32" ht="14.25" x14ac:dyDescent="0.2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+pronostico!K26*50%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+pronostico!K26*20%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+pronostico!K26*8%</f>
        <v>4800</v>
      </c>
      <c r="S27" s="174">
        <f t="shared" si="4"/>
        <v>11040000</v>
      </c>
      <c r="T27" s="175">
        <f t="shared" si="5"/>
        <v>5520000</v>
      </c>
      <c r="U27" s="173">
        <f>+pronostico!K26*8%</f>
        <v>4800</v>
      </c>
      <c r="V27" s="176">
        <f t="shared" si="6"/>
        <v>11040000</v>
      </c>
      <c r="W27" s="177">
        <f t="shared" si="7"/>
        <v>5520000</v>
      </c>
      <c r="X27" s="173">
        <f>+pronostico!K26*2%</f>
        <v>1200</v>
      </c>
      <c r="Y27" s="178">
        <f t="shared" si="8"/>
        <v>2760000</v>
      </c>
      <c r="Z27" s="178">
        <f t="shared" si="9"/>
        <v>1380000</v>
      </c>
      <c r="AA27" s="173">
        <f>+pronostico!K26*2%</f>
        <v>1200</v>
      </c>
      <c r="AB27" s="179">
        <f t="shared" si="10"/>
        <v>2760000</v>
      </c>
      <c r="AC27" s="180">
        <f t="shared" si="11"/>
        <v>1380000</v>
      </c>
      <c r="AD27" s="173">
        <f>+pronostico!K26*10%</f>
        <v>6000</v>
      </c>
      <c r="AE27" s="176">
        <f t="shared" si="20"/>
        <v>13800000</v>
      </c>
      <c r="AF27" s="177">
        <f t="shared" si="20"/>
        <v>6900000</v>
      </c>
    </row>
    <row r="28" spans="1:32" ht="14.25" x14ac:dyDescent="0.2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+pronostico!K27*50%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+pronostico!K27*20%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+pronostico!K27*8%</f>
        <v>2400</v>
      </c>
      <c r="S28" s="174">
        <f t="shared" si="4"/>
        <v>9360000</v>
      </c>
      <c r="T28" s="175">
        <f t="shared" si="5"/>
        <v>3744000</v>
      </c>
      <c r="U28" s="173">
        <f>+pronostico!K27*8%</f>
        <v>2400</v>
      </c>
      <c r="V28" s="176">
        <f t="shared" si="6"/>
        <v>9360000</v>
      </c>
      <c r="W28" s="177">
        <f t="shared" si="7"/>
        <v>3744000</v>
      </c>
      <c r="X28" s="173">
        <f>+pronostico!K27*2%</f>
        <v>600</v>
      </c>
      <c r="Y28" s="178">
        <f t="shared" si="8"/>
        <v>2340000</v>
      </c>
      <c r="Z28" s="178">
        <f t="shared" si="9"/>
        <v>936000</v>
      </c>
      <c r="AA28" s="173">
        <f>+pronostico!K27*2%</f>
        <v>600</v>
      </c>
      <c r="AB28" s="179">
        <f t="shared" si="10"/>
        <v>2340000</v>
      </c>
      <c r="AC28" s="180">
        <f t="shared" si="11"/>
        <v>936000</v>
      </c>
      <c r="AD28" s="173">
        <f>+pronostico!K27*10%</f>
        <v>3000</v>
      </c>
      <c r="AE28" s="176">
        <f t="shared" si="20"/>
        <v>11700000</v>
      </c>
      <c r="AF28" s="177">
        <f t="shared" si="20"/>
        <v>4680000</v>
      </c>
    </row>
    <row r="29" spans="1:32" ht="14.25" x14ac:dyDescent="0.2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+pronostico!K28*50%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+pronostico!K28*20%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+pronostico!K28*8%</f>
        <v>5200</v>
      </c>
      <c r="S29" s="174">
        <f t="shared" si="4"/>
        <v>15600000</v>
      </c>
      <c r="T29" s="175">
        <f t="shared" si="5"/>
        <v>7800000</v>
      </c>
      <c r="U29" s="173">
        <f>+pronostico!K28*8%</f>
        <v>5200</v>
      </c>
      <c r="V29" s="176">
        <f t="shared" si="6"/>
        <v>15600000</v>
      </c>
      <c r="W29" s="177">
        <f t="shared" si="7"/>
        <v>7800000</v>
      </c>
      <c r="X29" s="173">
        <f>+pronostico!K28*2%</f>
        <v>1300</v>
      </c>
      <c r="Y29" s="178">
        <f t="shared" si="8"/>
        <v>3900000</v>
      </c>
      <c r="Z29" s="178">
        <f t="shared" si="9"/>
        <v>1950000</v>
      </c>
      <c r="AA29" s="173">
        <f>+pronostico!K28*2%</f>
        <v>1300</v>
      </c>
      <c r="AB29" s="179">
        <f t="shared" si="10"/>
        <v>3900000</v>
      </c>
      <c r="AC29" s="180">
        <f t="shared" si="11"/>
        <v>1950000</v>
      </c>
      <c r="AD29" s="173">
        <f>+pronostico!K28*10%</f>
        <v>6500</v>
      </c>
      <c r="AE29" s="176">
        <f t="shared" si="20"/>
        <v>19500000</v>
      </c>
      <c r="AF29" s="177">
        <f t="shared" si="20"/>
        <v>9750000</v>
      </c>
    </row>
    <row r="30" spans="1:32" ht="14.25" x14ac:dyDescent="0.2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+pronostico!K29*50%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+pronostico!K29*20%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+pronostico!K29*8%</f>
        <v>2000</v>
      </c>
      <c r="S30" s="174">
        <f t="shared" si="4"/>
        <v>8200000</v>
      </c>
      <c r="T30" s="175">
        <f t="shared" si="5"/>
        <v>3280000</v>
      </c>
      <c r="U30" s="173">
        <f>+pronostico!K29*8%</f>
        <v>2000</v>
      </c>
      <c r="V30" s="176">
        <f t="shared" si="6"/>
        <v>8200000</v>
      </c>
      <c r="W30" s="177">
        <f t="shared" si="7"/>
        <v>3280000</v>
      </c>
      <c r="X30" s="173">
        <f>+pronostico!K29*2%</f>
        <v>500</v>
      </c>
      <c r="Y30" s="178">
        <f t="shared" si="8"/>
        <v>2050000</v>
      </c>
      <c r="Z30" s="178">
        <f t="shared" si="9"/>
        <v>820000</v>
      </c>
      <c r="AA30" s="173">
        <f>+pronostico!K29*2%</f>
        <v>500</v>
      </c>
      <c r="AB30" s="179">
        <f t="shared" si="10"/>
        <v>2050000</v>
      </c>
      <c r="AC30" s="180">
        <f t="shared" si="11"/>
        <v>820000</v>
      </c>
      <c r="AD30" s="173">
        <f>+pronostico!K29*10%</f>
        <v>2500</v>
      </c>
      <c r="AE30" s="176">
        <f t="shared" si="20"/>
        <v>10250000</v>
      </c>
      <c r="AF30" s="177">
        <f t="shared" si="20"/>
        <v>4100000</v>
      </c>
    </row>
    <row r="31" spans="1:32" ht="14.25" x14ac:dyDescent="0.2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+pronostico!K30*50%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+pronostico!K30*20%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+pronostico!K30*8%</f>
        <v>2000</v>
      </c>
      <c r="S31" s="174">
        <f t="shared" si="4"/>
        <v>4700000</v>
      </c>
      <c r="T31" s="175">
        <f t="shared" si="5"/>
        <v>2350000</v>
      </c>
      <c r="U31" s="173">
        <f>+pronostico!K30*8%</f>
        <v>2000</v>
      </c>
      <c r="V31" s="176">
        <f t="shared" si="6"/>
        <v>4700000</v>
      </c>
      <c r="W31" s="177">
        <f t="shared" si="7"/>
        <v>2350000</v>
      </c>
      <c r="X31" s="173">
        <f>+pronostico!K30*2%</f>
        <v>500</v>
      </c>
      <c r="Y31" s="178">
        <f t="shared" si="8"/>
        <v>1175000</v>
      </c>
      <c r="Z31" s="178">
        <f t="shared" si="9"/>
        <v>587500</v>
      </c>
      <c r="AA31" s="173">
        <f>+pronostico!K30*2%</f>
        <v>500</v>
      </c>
      <c r="AB31" s="179">
        <f t="shared" si="10"/>
        <v>1175000</v>
      </c>
      <c r="AC31" s="180">
        <f t="shared" si="11"/>
        <v>587500</v>
      </c>
      <c r="AD31" s="173">
        <f>+pronostico!K30*10%</f>
        <v>2500</v>
      </c>
      <c r="AE31" s="176">
        <f t="shared" si="20"/>
        <v>5875000</v>
      </c>
      <c r="AF31" s="177">
        <f t="shared" si="20"/>
        <v>2937500</v>
      </c>
    </row>
    <row r="32" spans="1:32" ht="14.25" x14ac:dyDescent="0.2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+pronostico!K31*50%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+pronostico!K31*20%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+pronostico!K31*8%</f>
        <v>1600</v>
      </c>
      <c r="S32" s="174">
        <f t="shared" si="4"/>
        <v>4800000</v>
      </c>
      <c r="T32" s="175">
        <f t="shared" si="5"/>
        <v>2400000</v>
      </c>
      <c r="U32" s="173">
        <f>+pronostico!K31*8%</f>
        <v>1600</v>
      </c>
      <c r="V32" s="176">
        <f t="shared" si="6"/>
        <v>4800000</v>
      </c>
      <c r="W32" s="177">
        <f t="shared" si="7"/>
        <v>2400000</v>
      </c>
      <c r="X32" s="173">
        <f>+pronostico!K31*2%</f>
        <v>400</v>
      </c>
      <c r="Y32" s="178">
        <f t="shared" si="8"/>
        <v>1200000</v>
      </c>
      <c r="Z32" s="178">
        <f t="shared" si="9"/>
        <v>600000</v>
      </c>
      <c r="AA32" s="173">
        <f>+pronostico!K31*2%</f>
        <v>400</v>
      </c>
      <c r="AB32" s="179">
        <f t="shared" si="10"/>
        <v>1200000</v>
      </c>
      <c r="AC32" s="180">
        <f t="shared" si="11"/>
        <v>600000</v>
      </c>
      <c r="AD32" s="173">
        <f>+pronostico!K31*10%</f>
        <v>2000</v>
      </c>
      <c r="AE32" s="176">
        <f t="shared" si="20"/>
        <v>6000000</v>
      </c>
      <c r="AF32" s="177">
        <f t="shared" si="20"/>
        <v>3000000</v>
      </c>
    </row>
    <row r="33" spans="1:32" ht="14.25" x14ac:dyDescent="0.2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+pronostico!K32*50%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+pronostico!K32*20%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+pronostico!K32*8%</f>
        <v>1200</v>
      </c>
      <c r="S33" s="174">
        <f t="shared" si="4"/>
        <v>2760000</v>
      </c>
      <c r="T33" s="175">
        <f t="shared" si="5"/>
        <v>1380000</v>
      </c>
      <c r="U33" s="173">
        <f>+pronostico!K32*8%</f>
        <v>1200</v>
      </c>
      <c r="V33" s="176">
        <f t="shared" si="6"/>
        <v>2760000</v>
      </c>
      <c r="W33" s="177">
        <f t="shared" si="7"/>
        <v>1380000</v>
      </c>
      <c r="X33" s="173">
        <f>+pronostico!K32*2%</f>
        <v>300</v>
      </c>
      <c r="Y33" s="178">
        <f t="shared" si="8"/>
        <v>690000</v>
      </c>
      <c r="Z33" s="178">
        <f t="shared" si="9"/>
        <v>345000</v>
      </c>
      <c r="AA33" s="173">
        <f>+pronostico!K32*2%</f>
        <v>300</v>
      </c>
      <c r="AB33" s="179">
        <f t="shared" si="10"/>
        <v>690000</v>
      </c>
      <c r="AC33" s="180">
        <f t="shared" si="11"/>
        <v>345000</v>
      </c>
      <c r="AD33" s="173">
        <f>+pronostico!K32*10%</f>
        <v>1500</v>
      </c>
      <c r="AE33" s="176">
        <f t="shared" si="20"/>
        <v>3450000</v>
      </c>
      <c r="AF33" s="177">
        <f t="shared" si="20"/>
        <v>1725000</v>
      </c>
    </row>
    <row r="34" spans="1:32" ht="14.25" x14ac:dyDescent="0.2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+pronostico!K33*50%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+pronostico!K33*20%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+pronostico!K33*8%</f>
        <v>1600</v>
      </c>
      <c r="S34" s="174">
        <f t="shared" si="4"/>
        <v>6080000</v>
      </c>
      <c r="T34" s="175">
        <f t="shared" si="5"/>
        <v>2432000</v>
      </c>
      <c r="U34" s="173">
        <f>+pronostico!K33*8%</f>
        <v>1600</v>
      </c>
      <c r="V34" s="176">
        <f t="shared" si="6"/>
        <v>6080000</v>
      </c>
      <c r="W34" s="177">
        <f t="shared" si="7"/>
        <v>2432000</v>
      </c>
      <c r="X34" s="173">
        <f>+pronostico!K33*2%</f>
        <v>400</v>
      </c>
      <c r="Y34" s="178">
        <f t="shared" si="8"/>
        <v>1520000</v>
      </c>
      <c r="Z34" s="178">
        <f t="shared" si="9"/>
        <v>608000</v>
      </c>
      <c r="AA34" s="173">
        <f>+pronostico!K33*2%</f>
        <v>400</v>
      </c>
      <c r="AB34" s="179">
        <f t="shared" si="10"/>
        <v>1520000</v>
      </c>
      <c r="AC34" s="180">
        <f t="shared" si="11"/>
        <v>608000</v>
      </c>
      <c r="AD34" s="173">
        <f>+pronostico!K33*10%</f>
        <v>2000</v>
      </c>
      <c r="AE34" s="176">
        <f t="shared" si="20"/>
        <v>7600000</v>
      </c>
      <c r="AF34" s="177">
        <f t="shared" si="20"/>
        <v>3040000</v>
      </c>
    </row>
    <row r="35" spans="1:32" ht="14.25" x14ac:dyDescent="0.2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+pronostico!K34*50%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+pronostico!K34*20%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+pronostico!K34*8%</f>
        <v>1600</v>
      </c>
      <c r="S35" s="174">
        <f t="shared" si="4"/>
        <v>6400000</v>
      </c>
      <c r="T35" s="175">
        <f t="shared" si="5"/>
        <v>2560000</v>
      </c>
      <c r="U35" s="173">
        <f>+pronostico!K34*8%</f>
        <v>1600</v>
      </c>
      <c r="V35" s="176">
        <f t="shared" si="6"/>
        <v>6400000</v>
      </c>
      <c r="W35" s="177">
        <f t="shared" si="7"/>
        <v>2560000</v>
      </c>
      <c r="X35" s="173">
        <f>+pronostico!K34*2%</f>
        <v>400</v>
      </c>
      <c r="Y35" s="178">
        <f t="shared" si="8"/>
        <v>1600000</v>
      </c>
      <c r="Z35" s="178">
        <f t="shared" si="9"/>
        <v>640000</v>
      </c>
      <c r="AA35" s="173">
        <f>+pronostico!K34*2%</f>
        <v>400</v>
      </c>
      <c r="AB35" s="179">
        <f t="shared" si="10"/>
        <v>1600000</v>
      </c>
      <c r="AC35" s="180">
        <f t="shared" si="11"/>
        <v>640000</v>
      </c>
      <c r="AD35" s="173">
        <f>+pronostico!K34*10%</f>
        <v>2000</v>
      </c>
      <c r="AE35" s="176">
        <f t="shared" si="20"/>
        <v>8000000</v>
      </c>
      <c r="AF35" s="177">
        <f t="shared" si="20"/>
        <v>3200000</v>
      </c>
    </row>
    <row r="36" spans="1:32" ht="14.25" x14ac:dyDescent="0.2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+pronostico!K35*50%</f>
        <v>113055</v>
      </c>
      <c r="G36" s="137">
        <f t="shared" si="13"/>
        <v>215935050</v>
      </c>
      <c r="H36" s="138">
        <f t="shared" si="13"/>
        <v>107967525</v>
      </c>
      <c r="I36" s="137">
        <f t="shared" si="21"/>
        <v>67833</v>
      </c>
      <c r="J36" s="139">
        <f t="shared" si="15"/>
        <v>33916.5</v>
      </c>
      <c r="K36" s="167">
        <f t="shared" si="0"/>
        <v>11305.5</v>
      </c>
      <c r="L36" s="168" t="s">
        <v>21</v>
      </c>
      <c r="M36" s="169">
        <f>+pronostico!K35*20%</f>
        <v>45222</v>
      </c>
      <c r="N36" s="170">
        <f t="shared" si="2"/>
        <v>86374020</v>
      </c>
      <c r="O36" s="171">
        <f t="shared" si="3"/>
        <v>43187010</v>
      </c>
      <c r="P36" s="170">
        <f t="shared" si="16"/>
        <v>22611</v>
      </c>
      <c r="Q36" s="172">
        <f t="shared" si="17"/>
        <v>22611</v>
      </c>
      <c r="R36" s="173">
        <f>+pronostico!K35*8%</f>
        <v>18088.8</v>
      </c>
      <c r="S36" s="174">
        <f t="shared" si="4"/>
        <v>34549608</v>
      </c>
      <c r="T36" s="175">
        <f t="shared" si="5"/>
        <v>17274804</v>
      </c>
      <c r="U36" s="173">
        <f>+pronostico!K35*8%</f>
        <v>18088.8</v>
      </c>
      <c r="V36" s="176">
        <v>0</v>
      </c>
      <c r="W36" s="177">
        <f t="shared" ref="W36:W51" si="22">V36*E36</f>
        <v>0</v>
      </c>
      <c r="X36" s="173">
        <f>+pronostico!K35*2%</f>
        <v>4522.2</v>
      </c>
      <c r="Y36" s="178">
        <f t="shared" si="8"/>
        <v>8637402</v>
      </c>
      <c r="Z36" s="178">
        <f t="shared" si="9"/>
        <v>4318701</v>
      </c>
      <c r="AA36" s="173">
        <f>+pronostico!K35*2%</f>
        <v>4522.2</v>
      </c>
      <c r="AB36" s="179">
        <f t="shared" si="10"/>
        <v>8637402</v>
      </c>
      <c r="AC36" s="180">
        <f t="shared" si="11"/>
        <v>4318701</v>
      </c>
      <c r="AD36" s="173">
        <f>+pronostico!K35*10%</f>
        <v>22611</v>
      </c>
      <c r="AE36" s="176">
        <f t="shared" si="20"/>
        <v>43187010</v>
      </c>
      <c r="AF36" s="177">
        <f t="shared" si="20"/>
        <v>21593505</v>
      </c>
    </row>
    <row r="37" spans="1:32" ht="14.25" x14ac:dyDescent="0.2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+pronostico!K36*50%</f>
        <v>105478</v>
      </c>
      <c r="G37" s="137">
        <f t="shared" si="13"/>
        <v>228887260</v>
      </c>
      <c r="H37" s="138">
        <f t="shared" si="13"/>
        <v>114443630</v>
      </c>
      <c r="I37" s="137">
        <f t="shared" si="21"/>
        <v>63286.799999999996</v>
      </c>
      <c r="J37" s="139">
        <f t="shared" si="15"/>
        <v>31643.399999999998</v>
      </c>
      <c r="K37" s="167">
        <f t="shared" si="0"/>
        <v>10547.800000000001</v>
      </c>
      <c r="L37" s="168" t="s">
        <v>21</v>
      </c>
      <c r="M37" s="169">
        <f>+pronostico!K36*20%</f>
        <v>42191.200000000004</v>
      </c>
      <c r="N37" s="170">
        <f t="shared" si="2"/>
        <v>91554904.000000015</v>
      </c>
      <c r="O37" s="171">
        <f t="shared" si="3"/>
        <v>45777452.000000007</v>
      </c>
      <c r="P37" s="170">
        <f t="shared" si="16"/>
        <v>21095.600000000002</v>
      </c>
      <c r="Q37" s="172">
        <f t="shared" si="17"/>
        <v>21095.600000000002</v>
      </c>
      <c r="R37" s="173">
        <f>+pronostico!K36*8%</f>
        <v>16876.48</v>
      </c>
      <c r="S37" s="174">
        <f t="shared" si="4"/>
        <v>36621961.600000001</v>
      </c>
      <c r="T37" s="175">
        <f t="shared" si="5"/>
        <v>18310980.800000001</v>
      </c>
      <c r="U37" s="173">
        <f>+pronostico!K36*8%</f>
        <v>16876.48</v>
      </c>
      <c r="V37" s="176">
        <v>0</v>
      </c>
      <c r="W37" s="177">
        <f t="shared" si="22"/>
        <v>0</v>
      </c>
      <c r="X37" s="173">
        <f>+pronostico!K36*2%</f>
        <v>4219.12</v>
      </c>
      <c r="Y37" s="178">
        <f t="shared" si="8"/>
        <v>9155490.4000000004</v>
      </c>
      <c r="Z37" s="178">
        <f t="shared" si="9"/>
        <v>4577745.2</v>
      </c>
      <c r="AA37" s="173">
        <f>+pronostico!K36*2%</f>
        <v>4219.12</v>
      </c>
      <c r="AB37" s="179">
        <f t="shared" si="10"/>
        <v>9155490.4000000004</v>
      </c>
      <c r="AC37" s="180">
        <f t="shared" si="11"/>
        <v>4577745.2</v>
      </c>
      <c r="AD37" s="173">
        <f>+pronostico!K36*10%</f>
        <v>21095.600000000002</v>
      </c>
      <c r="AE37" s="176">
        <f t="shared" ref="AE37:AF51" si="23">+AD37*D37</f>
        <v>45777452.000000007</v>
      </c>
      <c r="AF37" s="177">
        <f t="shared" si="23"/>
        <v>22888726.000000004</v>
      </c>
    </row>
    <row r="38" spans="1:32" ht="14.25" x14ac:dyDescent="0.2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+pronostico!K37*50%</f>
        <v>84412.5</v>
      </c>
      <c r="G38" s="137">
        <f t="shared" si="13"/>
        <v>140968875</v>
      </c>
      <c r="H38" s="138">
        <f t="shared" si="13"/>
        <v>70484437.5</v>
      </c>
      <c r="I38" s="137">
        <f t="shared" si="21"/>
        <v>50647.5</v>
      </c>
      <c r="J38" s="139">
        <f t="shared" si="15"/>
        <v>25323.75</v>
      </c>
      <c r="K38" s="167">
        <f t="shared" si="0"/>
        <v>8441.25</v>
      </c>
      <c r="L38" s="168" t="s">
        <v>21</v>
      </c>
      <c r="M38" s="169">
        <f>+pronostico!K37*20%</f>
        <v>33765</v>
      </c>
      <c r="N38" s="170">
        <f t="shared" si="2"/>
        <v>56387550</v>
      </c>
      <c r="O38" s="171">
        <f t="shared" si="3"/>
        <v>28193775</v>
      </c>
      <c r="P38" s="170">
        <f t="shared" si="16"/>
        <v>16882.5</v>
      </c>
      <c r="Q38" s="172">
        <f t="shared" si="17"/>
        <v>16882.5</v>
      </c>
      <c r="R38" s="173">
        <f>+pronostico!K37*8%</f>
        <v>13506</v>
      </c>
      <c r="S38" s="174">
        <f t="shared" si="4"/>
        <v>22555020</v>
      </c>
      <c r="T38" s="175">
        <f t="shared" si="5"/>
        <v>11277510</v>
      </c>
      <c r="U38" s="173">
        <f>+pronostico!K37*8%</f>
        <v>13506</v>
      </c>
      <c r="V38" s="176">
        <v>0</v>
      </c>
      <c r="W38" s="177">
        <f t="shared" si="22"/>
        <v>0</v>
      </c>
      <c r="X38" s="173">
        <f>+pronostico!K37*2%</f>
        <v>3376.5</v>
      </c>
      <c r="Y38" s="178">
        <f t="shared" si="8"/>
        <v>5638755</v>
      </c>
      <c r="Z38" s="178">
        <f t="shared" si="9"/>
        <v>2819377.5</v>
      </c>
      <c r="AA38" s="173">
        <f>+pronostico!K37*2%</f>
        <v>3376.5</v>
      </c>
      <c r="AB38" s="179">
        <f t="shared" si="10"/>
        <v>5638755</v>
      </c>
      <c r="AC38" s="180">
        <f t="shared" si="11"/>
        <v>2819377.5</v>
      </c>
      <c r="AD38" s="173">
        <f>+pronostico!K37*10%</f>
        <v>16882.5</v>
      </c>
      <c r="AE38" s="176">
        <f t="shared" si="23"/>
        <v>28193775</v>
      </c>
      <c r="AF38" s="177">
        <f t="shared" si="23"/>
        <v>14096887.5</v>
      </c>
    </row>
    <row r="39" spans="1:32" ht="14.25" x14ac:dyDescent="0.2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+pronostico!K38*50%</f>
        <v>41694</v>
      </c>
      <c r="G39" s="137">
        <f t="shared" si="13"/>
        <v>42527880</v>
      </c>
      <c r="H39" s="138">
        <f t="shared" si="13"/>
        <v>21263940</v>
      </c>
      <c r="I39" s="137">
        <f t="shared" si="21"/>
        <v>25016.399999999998</v>
      </c>
      <c r="J39" s="139">
        <f t="shared" si="15"/>
        <v>12508.199999999999</v>
      </c>
      <c r="K39" s="167">
        <f t="shared" si="0"/>
        <v>4169.4000000000005</v>
      </c>
      <c r="L39" s="168" t="s">
        <v>21</v>
      </c>
      <c r="M39" s="169">
        <f>+pronostico!K38*20%</f>
        <v>16677.600000000002</v>
      </c>
      <c r="N39" s="170">
        <f t="shared" si="2"/>
        <v>17011152.000000004</v>
      </c>
      <c r="O39" s="171">
        <f t="shared" si="3"/>
        <v>8505576.0000000019</v>
      </c>
      <c r="P39" s="170">
        <f t="shared" si="16"/>
        <v>8338.8000000000011</v>
      </c>
      <c r="Q39" s="172">
        <f t="shared" si="17"/>
        <v>8338.8000000000011</v>
      </c>
      <c r="R39" s="173">
        <f>+pronostico!K38*8%</f>
        <v>6671.04</v>
      </c>
      <c r="S39" s="174">
        <f t="shared" si="4"/>
        <v>6804460.7999999998</v>
      </c>
      <c r="T39" s="175">
        <f t="shared" si="5"/>
        <v>3402230.4</v>
      </c>
      <c r="U39" s="173">
        <f>+pronostico!K38*8%</f>
        <v>6671.04</v>
      </c>
      <c r="V39" s="176">
        <v>0</v>
      </c>
      <c r="W39" s="177">
        <f t="shared" si="22"/>
        <v>0</v>
      </c>
      <c r="X39" s="173">
        <f>+pronostico!K38*2%</f>
        <v>1667.76</v>
      </c>
      <c r="Y39" s="178">
        <f t="shared" si="8"/>
        <v>1701115.2</v>
      </c>
      <c r="Z39" s="178">
        <f t="shared" si="9"/>
        <v>850557.6</v>
      </c>
      <c r="AA39" s="173">
        <f>+pronostico!K38*2%</f>
        <v>1667.76</v>
      </c>
      <c r="AB39" s="179">
        <f t="shared" si="10"/>
        <v>1701115.2</v>
      </c>
      <c r="AC39" s="180">
        <f t="shared" si="11"/>
        <v>850557.6</v>
      </c>
      <c r="AD39" s="173">
        <f>+pronostico!K38*10%</f>
        <v>8338.8000000000011</v>
      </c>
      <c r="AE39" s="176">
        <f t="shared" si="23"/>
        <v>8505576.0000000019</v>
      </c>
      <c r="AF39" s="177">
        <f t="shared" si="23"/>
        <v>4252788.0000000009</v>
      </c>
    </row>
    <row r="40" spans="1:32" ht="14.25" x14ac:dyDescent="0.2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+pronostico!K39*50%</f>
        <v>46121.5</v>
      </c>
      <c r="G40" s="137">
        <f t="shared" si="13"/>
        <v>65953745</v>
      </c>
      <c r="H40" s="138">
        <f t="shared" si="13"/>
        <v>32976872.5</v>
      </c>
      <c r="I40" s="137">
        <f t="shared" si="21"/>
        <v>27672.899999999998</v>
      </c>
      <c r="J40" s="139">
        <f t="shared" si="15"/>
        <v>13836.449999999999</v>
      </c>
      <c r="K40" s="167">
        <f t="shared" si="0"/>
        <v>4612.1500000000005</v>
      </c>
      <c r="L40" s="168" t="s">
        <v>21</v>
      </c>
      <c r="M40" s="169">
        <f>+pronostico!K39*20%</f>
        <v>18448.600000000002</v>
      </c>
      <c r="N40" s="170">
        <f t="shared" si="2"/>
        <v>26381498.000000004</v>
      </c>
      <c r="O40" s="171">
        <f t="shared" si="3"/>
        <v>13190749.000000002</v>
      </c>
      <c r="P40" s="170">
        <f t="shared" si="16"/>
        <v>9224.3000000000011</v>
      </c>
      <c r="Q40" s="172">
        <f t="shared" si="17"/>
        <v>9224.3000000000011</v>
      </c>
      <c r="R40" s="173">
        <f>+pronostico!K39*8%</f>
        <v>7379.4400000000005</v>
      </c>
      <c r="S40" s="174">
        <f t="shared" si="4"/>
        <v>10552599.200000001</v>
      </c>
      <c r="T40" s="175">
        <f t="shared" si="5"/>
        <v>5276299.6000000006</v>
      </c>
      <c r="U40" s="173">
        <f>+pronostico!K39*8%</f>
        <v>7379.4400000000005</v>
      </c>
      <c r="V40" s="176">
        <v>0</v>
      </c>
      <c r="W40" s="177">
        <f t="shared" si="22"/>
        <v>0</v>
      </c>
      <c r="X40" s="173">
        <f>+pronostico!K39*2%</f>
        <v>1844.8600000000001</v>
      </c>
      <c r="Y40" s="178">
        <f t="shared" si="8"/>
        <v>2638149.8000000003</v>
      </c>
      <c r="Z40" s="178">
        <f t="shared" si="9"/>
        <v>1319074.9000000001</v>
      </c>
      <c r="AA40" s="173">
        <f>+pronostico!K39*2%</f>
        <v>1844.8600000000001</v>
      </c>
      <c r="AB40" s="179">
        <f t="shared" si="10"/>
        <v>2638149.8000000003</v>
      </c>
      <c r="AC40" s="180">
        <f t="shared" si="11"/>
        <v>1319074.9000000001</v>
      </c>
      <c r="AD40" s="173">
        <f>+pronostico!K39*10%</f>
        <v>9224.3000000000011</v>
      </c>
      <c r="AE40" s="176">
        <f t="shared" si="23"/>
        <v>13190749.000000002</v>
      </c>
      <c r="AF40" s="177">
        <f t="shared" si="23"/>
        <v>6595374.5000000009</v>
      </c>
    </row>
    <row r="41" spans="1:32" ht="14.25" x14ac:dyDescent="0.2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+pronostico!K40*50%</f>
        <v>38411</v>
      </c>
      <c r="G41" s="137">
        <f t="shared" si="13"/>
        <v>509329860</v>
      </c>
      <c r="H41" s="138">
        <f t="shared" si="13"/>
        <v>203731944</v>
      </c>
      <c r="I41" s="137">
        <f t="shared" si="21"/>
        <v>23046.6</v>
      </c>
      <c r="J41" s="139">
        <f t="shared" si="15"/>
        <v>11523.3</v>
      </c>
      <c r="K41" s="167">
        <f t="shared" si="0"/>
        <v>3841.1000000000004</v>
      </c>
      <c r="L41" s="168" t="s">
        <v>21</v>
      </c>
      <c r="M41" s="169">
        <f>+pronostico!K40*20%</f>
        <v>15364.400000000001</v>
      </c>
      <c r="N41" s="170">
        <f t="shared" si="2"/>
        <v>203731944.00000003</v>
      </c>
      <c r="O41" s="171">
        <f t="shared" si="3"/>
        <v>81492777.600000024</v>
      </c>
      <c r="P41" s="170">
        <f t="shared" si="16"/>
        <v>7682.2000000000007</v>
      </c>
      <c r="Q41" s="172">
        <f t="shared" si="17"/>
        <v>7682.2000000000007</v>
      </c>
      <c r="R41" s="173">
        <f>+pronostico!K40*8%</f>
        <v>6145.76</v>
      </c>
      <c r="S41" s="174">
        <f t="shared" si="4"/>
        <v>81492777.600000009</v>
      </c>
      <c r="T41" s="175">
        <f t="shared" si="5"/>
        <v>32597111.040000007</v>
      </c>
      <c r="U41" s="173">
        <f>+pronostico!K40*8%</f>
        <v>6145.76</v>
      </c>
      <c r="V41" s="176">
        <v>0</v>
      </c>
      <c r="W41" s="177">
        <f t="shared" si="22"/>
        <v>0</v>
      </c>
      <c r="X41" s="173">
        <f>+pronostico!K40*2%</f>
        <v>1536.44</v>
      </c>
      <c r="Y41" s="178">
        <f t="shared" si="8"/>
        <v>20373194.400000002</v>
      </c>
      <c r="Z41" s="178">
        <f t="shared" si="9"/>
        <v>8149277.7600000016</v>
      </c>
      <c r="AA41" s="173">
        <f>+pronostico!K40*2%</f>
        <v>1536.44</v>
      </c>
      <c r="AB41" s="179">
        <f t="shared" si="10"/>
        <v>20373194.400000002</v>
      </c>
      <c r="AC41" s="180">
        <f t="shared" si="11"/>
        <v>8149277.7600000016</v>
      </c>
      <c r="AD41" s="173">
        <f>+pronostico!K40*10%</f>
        <v>7682.2000000000007</v>
      </c>
      <c r="AE41" s="176">
        <f t="shared" si="23"/>
        <v>101865972.00000001</v>
      </c>
      <c r="AF41" s="177">
        <f t="shared" si="23"/>
        <v>40746388.800000012</v>
      </c>
    </row>
    <row r="42" spans="1:32" ht="14.25" x14ac:dyDescent="0.2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+pronostico!K41*50%</f>
        <v>21337</v>
      </c>
      <c r="G42" s="137">
        <f t="shared" si="13"/>
        <v>60597080</v>
      </c>
      <c r="H42" s="138">
        <f t="shared" si="13"/>
        <v>30298540</v>
      </c>
      <c r="I42" s="137">
        <f t="shared" si="21"/>
        <v>12802.199999999999</v>
      </c>
      <c r="J42" s="139">
        <f t="shared" si="15"/>
        <v>6401.0999999999995</v>
      </c>
      <c r="K42" s="167">
        <f t="shared" si="0"/>
        <v>2133.7000000000003</v>
      </c>
      <c r="L42" s="168" t="s">
        <v>21</v>
      </c>
      <c r="M42" s="169">
        <f>+pronostico!K41*20%</f>
        <v>8534.8000000000011</v>
      </c>
      <c r="N42" s="170">
        <f t="shared" si="2"/>
        <v>24238832.000000004</v>
      </c>
      <c r="O42" s="171">
        <f t="shared" si="3"/>
        <v>12119416.000000002</v>
      </c>
      <c r="P42" s="170">
        <f t="shared" si="16"/>
        <v>4267.4000000000005</v>
      </c>
      <c r="Q42" s="172">
        <f t="shared" si="17"/>
        <v>4267.4000000000005</v>
      </c>
      <c r="R42" s="173">
        <f>+pronostico!K41*8%</f>
        <v>3413.92</v>
      </c>
      <c r="S42" s="174">
        <f t="shared" si="4"/>
        <v>9695532.8000000007</v>
      </c>
      <c r="T42" s="175">
        <f t="shared" si="5"/>
        <v>4847766.4000000004</v>
      </c>
      <c r="U42" s="173">
        <f>+pronostico!K41*8%</f>
        <v>3413.92</v>
      </c>
      <c r="V42" s="176">
        <v>0</v>
      </c>
      <c r="W42" s="177">
        <f t="shared" si="22"/>
        <v>0</v>
      </c>
      <c r="X42" s="173">
        <f>+pronostico!K41*2%</f>
        <v>853.48</v>
      </c>
      <c r="Y42" s="178">
        <f t="shared" si="8"/>
        <v>2423883.2000000002</v>
      </c>
      <c r="Z42" s="178">
        <f t="shared" si="9"/>
        <v>1211941.6000000001</v>
      </c>
      <c r="AA42" s="173">
        <f>+pronostico!K41*2%</f>
        <v>853.48</v>
      </c>
      <c r="AB42" s="179">
        <f t="shared" si="10"/>
        <v>2423883.2000000002</v>
      </c>
      <c r="AC42" s="180">
        <f t="shared" si="11"/>
        <v>1211941.6000000001</v>
      </c>
      <c r="AD42" s="173">
        <f>+pronostico!K41*10%</f>
        <v>4267.4000000000005</v>
      </c>
      <c r="AE42" s="176">
        <f t="shared" si="23"/>
        <v>12119416.000000002</v>
      </c>
      <c r="AF42" s="177">
        <f t="shared" si="23"/>
        <v>6059708.0000000009</v>
      </c>
    </row>
    <row r="43" spans="1:32" ht="14.25" x14ac:dyDescent="0.2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+pronostico!K42*50%</f>
        <v>19248</v>
      </c>
      <c r="G43" s="137">
        <f t="shared" si="13"/>
        <v>73142400</v>
      </c>
      <c r="H43" s="138">
        <f t="shared" si="13"/>
        <v>29256960</v>
      </c>
      <c r="I43" s="137">
        <f t="shared" si="21"/>
        <v>11548.8</v>
      </c>
      <c r="J43" s="139">
        <f t="shared" si="15"/>
        <v>5774.4</v>
      </c>
      <c r="K43" s="167">
        <f t="shared" si="0"/>
        <v>1924.8000000000002</v>
      </c>
      <c r="L43" s="168" t="s">
        <v>21</v>
      </c>
      <c r="M43" s="169">
        <f>+pronostico!K42*20%</f>
        <v>7699.2000000000007</v>
      </c>
      <c r="N43" s="170">
        <f t="shared" si="2"/>
        <v>29256960.000000004</v>
      </c>
      <c r="O43" s="171">
        <f t="shared" si="3"/>
        <v>11702784.000000002</v>
      </c>
      <c r="P43" s="170">
        <f t="shared" si="16"/>
        <v>3849.6000000000004</v>
      </c>
      <c r="Q43" s="172">
        <f t="shared" si="17"/>
        <v>3849.6000000000004</v>
      </c>
      <c r="R43" s="173">
        <f>+pronostico!K42*8%</f>
        <v>3079.6800000000003</v>
      </c>
      <c r="S43" s="174">
        <f t="shared" si="4"/>
        <v>11702784.000000002</v>
      </c>
      <c r="T43" s="175">
        <f t="shared" si="5"/>
        <v>4681113.6000000006</v>
      </c>
      <c r="U43" s="173">
        <f>+pronostico!K42*8%</f>
        <v>3079.6800000000003</v>
      </c>
      <c r="V43" s="176">
        <v>0</v>
      </c>
      <c r="W43" s="177">
        <f t="shared" si="22"/>
        <v>0</v>
      </c>
      <c r="X43" s="173">
        <f>+pronostico!K42*2%</f>
        <v>769.92000000000007</v>
      </c>
      <c r="Y43" s="178">
        <f t="shared" si="8"/>
        <v>2925696.0000000005</v>
      </c>
      <c r="Z43" s="178">
        <f t="shared" si="9"/>
        <v>1170278.4000000001</v>
      </c>
      <c r="AA43" s="173">
        <f>+pronostico!K42*2%</f>
        <v>769.92000000000007</v>
      </c>
      <c r="AB43" s="179">
        <f t="shared" si="10"/>
        <v>2925696.0000000005</v>
      </c>
      <c r="AC43" s="180">
        <f t="shared" si="11"/>
        <v>1170278.4000000001</v>
      </c>
      <c r="AD43" s="173">
        <f>+pronostico!K42*10%</f>
        <v>3849.6000000000004</v>
      </c>
      <c r="AE43" s="176">
        <f t="shared" si="23"/>
        <v>14628480.000000002</v>
      </c>
      <c r="AF43" s="177">
        <f t="shared" si="23"/>
        <v>5851392.0000000009</v>
      </c>
    </row>
    <row r="44" spans="1:32" ht="14.25" x14ac:dyDescent="0.2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+pronostico!K43*50%</f>
        <v>26831.955642928693</v>
      </c>
      <c r="G44" s="137">
        <f t="shared" si="13"/>
        <v>92301927.411674708</v>
      </c>
      <c r="H44" s="138">
        <f t="shared" si="13"/>
        <v>46150963.705837354</v>
      </c>
      <c r="I44" s="137">
        <f t="shared" si="21"/>
        <v>16099.173385757214</v>
      </c>
      <c r="J44" s="139">
        <f t="shared" si="15"/>
        <v>8049.5866928786072</v>
      </c>
      <c r="K44" s="167">
        <f t="shared" si="0"/>
        <v>2683.1955642928697</v>
      </c>
      <c r="L44" s="168" t="s">
        <v>21</v>
      </c>
      <c r="M44" s="169">
        <f>+pronostico!K43*20%</f>
        <v>10732.782257171479</v>
      </c>
      <c r="N44" s="170">
        <f t="shared" si="2"/>
        <v>36920770.964669883</v>
      </c>
      <c r="O44" s="171">
        <f t="shared" si="3"/>
        <v>18460385.482334942</v>
      </c>
      <c r="P44" s="170">
        <f t="shared" si="16"/>
        <v>5366.3911285857394</v>
      </c>
      <c r="Q44" s="172">
        <f t="shared" si="17"/>
        <v>5366.3911285857394</v>
      </c>
      <c r="R44" s="173">
        <f>+pronostico!K43*8%</f>
        <v>4293.1129028685909</v>
      </c>
      <c r="S44" s="174">
        <f t="shared" si="4"/>
        <v>14768308.385867953</v>
      </c>
      <c r="T44" s="175">
        <f t="shared" si="5"/>
        <v>7384154.1929339767</v>
      </c>
      <c r="U44" s="173">
        <f>+pronostico!K43*8%</f>
        <v>4293.1129028685909</v>
      </c>
      <c r="V44" s="176">
        <f t="shared" ref="V44:V51" si="24">U44*D44</f>
        <v>14768308.385867953</v>
      </c>
      <c r="W44" s="177">
        <f t="shared" si="22"/>
        <v>7384154.1929339767</v>
      </c>
      <c r="X44" s="173">
        <f>+pronostico!K43*2%</f>
        <v>1073.2782257171477</v>
      </c>
      <c r="Y44" s="178">
        <f t="shared" si="8"/>
        <v>3692077.0964669883</v>
      </c>
      <c r="Z44" s="178">
        <f t="shared" si="9"/>
        <v>1846038.5482334942</v>
      </c>
      <c r="AA44" s="173">
        <f>+pronostico!K43*2%</f>
        <v>1073.2782257171477</v>
      </c>
      <c r="AB44" s="179">
        <f t="shared" si="10"/>
        <v>3692077.0964669883</v>
      </c>
      <c r="AC44" s="180">
        <f t="shared" si="11"/>
        <v>1846038.5482334942</v>
      </c>
      <c r="AD44" s="173">
        <f>+pronostico!K43*10%</f>
        <v>5366.3911285857394</v>
      </c>
      <c r="AE44" s="176">
        <f t="shared" si="23"/>
        <v>18460385.482334942</v>
      </c>
      <c r="AF44" s="177">
        <f t="shared" si="23"/>
        <v>9230192.7411674708</v>
      </c>
    </row>
    <row r="45" spans="1:32" ht="14.25" x14ac:dyDescent="0.2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+pronostico!K44*50%</f>
        <v>31522.374624211865</v>
      </c>
      <c r="G45" s="137">
        <f t="shared" si="13"/>
        <v>64936091.725876443</v>
      </c>
      <c r="H45" s="138">
        <f t="shared" si="13"/>
        <v>32468045.862938222</v>
      </c>
      <c r="I45" s="137">
        <f t="shared" si="21"/>
        <v>18913.424774527117</v>
      </c>
      <c r="J45" s="139">
        <f t="shared" si="15"/>
        <v>9456.7123872635584</v>
      </c>
      <c r="K45" s="167">
        <f t="shared" si="0"/>
        <v>3152.2374624211866</v>
      </c>
      <c r="L45" s="168" t="s">
        <v>21</v>
      </c>
      <c r="M45" s="169">
        <f>+pronostico!K44*20%</f>
        <v>12608.949849684746</v>
      </c>
      <c r="N45" s="170">
        <f t="shared" si="2"/>
        <v>25974436.690350577</v>
      </c>
      <c r="O45" s="171">
        <f t="shared" si="3"/>
        <v>12987218.345175289</v>
      </c>
      <c r="P45" s="170">
        <f t="shared" si="16"/>
        <v>6304.4749248423732</v>
      </c>
      <c r="Q45" s="172">
        <f t="shared" si="17"/>
        <v>6304.4749248423732</v>
      </c>
      <c r="R45" s="173">
        <f>+pronostico!K44*8%</f>
        <v>5043.5799398738982</v>
      </c>
      <c r="S45" s="174">
        <f t="shared" si="4"/>
        <v>10389774.67614023</v>
      </c>
      <c r="T45" s="175">
        <f t="shared" si="5"/>
        <v>5194887.3380701151</v>
      </c>
      <c r="U45" s="173">
        <f>+pronostico!K44*8%</f>
        <v>5043.5799398738982</v>
      </c>
      <c r="V45" s="176">
        <f t="shared" si="24"/>
        <v>10389774.67614023</v>
      </c>
      <c r="W45" s="177">
        <f t="shared" si="22"/>
        <v>5194887.3380701151</v>
      </c>
      <c r="X45" s="173">
        <f>+pronostico!K44*2%</f>
        <v>1260.8949849684745</v>
      </c>
      <c r="Y45" s="178">
        <f t="shared" si="8"/>
        <v>2597443.6690350575</v>
      </c>
      <c r="Z45" s="178">
        <f t="shared" si="9"/>
        <v>1298721.8345175288</v>
      </c>
      <c r="AA45" s="173">
        <f>+pronostico!K44*2%</f>
        <v>1260.8949849684745</v>
      </c>
      <c r="AB45" s="179">
        <f t="shared" si="10"/>
        <v>2597443.6690350575</v>
      </c>
      <c r="AC45" s="180">
        <f t="shared" si="11"/>
        <v>1298721.8345175288</v>
      </c>
      <c r="AD45" s="173">
        <f>+pronostico!K44*10%</f>
        <v>6304.4749248423732</v>
      </c>
      <c r="AE45" s="176">
        <f t="shared" si="23"/>
        <v>12987218.345175289</v>
      </c>
      <c r="AF45" s="177">
        <f t="shared" si="23"/>
        <v>6493609.1725876443</v>
      </c>
    </row>
    <row r="46" spans="1:32" ht="14.25" x14ac:dyDescent="0.2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+pronostico!K45*50%</f>
        <v>16209.536185316809</v>
      </c>
      <c r="G46" s="137">
        <f t="shared" si="13"/>
        <v>45548796.68074023</v>
      </c>
      <c r="H46" s="138">
        <f t="shared" si="13"/>
        <v>22774398.340370115</v>
      </c>
      <c r="I46" s="137">
        <f t="shared" si="21"/>
        <v>9725.7217111900845</v>
      </c>
      <c r="J46" s="139">
        <f t="shared" si="15"/>
        <v>4862.8608555950423</v>
      </c>
      <c r="K46" s="167">
        <f t="shared" si="0"/>
        <v>1620.9536185316811</v>
      </c>
      <c r="L46" s="168" t="s">
        <v>21</v>
      </c>
      <c r="M46" s="169">
        <f>+pronostico!K45*20%</f>
        <v>6483.8144741267242</v>
      </c>
      <c r="N46" s="170">
        <f t="shared" si="2"/>
        <v>18219518.672296096</v>
      </c>
      <c r="O46" s="171">
        <f t="shared" si="3"/>
        <v>9109759.3361480478</v>
      </c>
      <c r="P46" s="170">
        <f t="shared" si="16"/>
        <v>3241.9072370633621</v>
      </c>
      <c r="Q46" s="172">
        <f t="shared" si="17"/>
        <v>3241.9072370633621</v>
      </c>
      <c r="R46" s="173">
        <f>+pronostico!K45*8%</f>
        <v>2593.5257896506896</v>
      </c>
      <c r="S46" s="174">
        <f t="shared" si="4"/>
        <v>7287807.4689184381</v>
      </c>
      <c r="T46" s="175">
        <f t="shared" si="5"/>
        <v>3643903.734459219</v>
      </c>
      <c r="U46" s="173">
        <f>+pronostico!K45*8%</f>
        <v>2593.5257896506896</v>
      </c>
      <c r="V46" s="176">
        <f t="shared" si="24"/>
        <v>7287807.4689184381</v>
      </c>
      <c r="W46" s="177">
        <f t="shared" si="22"/>
        <v>3643903.734459219</v>
      </c>
      <c r="X46" s="173">
        <f>+pronostico!K45*2%</f>
        <v>648.3814474126724</v>
      </c>
      <c r="Y46" s="178">
        <f t="shared" si="8"/>
        <v>1821951.8672296095</v>
      </c>
      <c r="Z46" s="178">
        <f t="shared" si="9"/>
        <v>910975.93361480476</v>
      </c>
      <c r="AA46" s="173">
        <f>+pronostico!K45*2%</f>
        <v>648.3814474126724</v>
      </c>
      <c r="AB46" s="179">
        <f t="shared" si="10"/>
        <v>1821951.8672296095</v>
      </c>
      <c r="AC46" s="180">
        <f t="shared" si="11"/>
        <v>910975.93361480476</v>
      </c>
      <c r="AD46" s="173">
        <f>+pronostico!K45*10%</f>
        <v>3241.9072370633621</v>
      </c>
      <c r="AE46" s="176">
        <f t="shared" si="23"/>
        <v>9109759.3361480478</v>
      </c>
      <c r="AF46" s="177">
        <f t="shared" si="23"/>
        <v>4554879.6680740239</v>
      </c>
    </row>
    <row r="47" spans="1:32" ht="14.25" x14ac:dyDescent="0.2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+pronostico!K46*50%</f>
        <v>13243.535947152466</v>
      </c>
      <c r="G47" s="137">
        <f t="shared" si="13"/>
        <v>54828238.821211211</v>
      </c>
      <c r="H47" s="138">
        <f t="shared" si="13"/>
        <v>21931295.528484486</v>
      </c>
      <c r="I47" s="137">
        <f t="shared" si="21"/>
        <v>7946.121568291479</v>
      </c>
      <c r="J47" s="139">
        <f t="shared" si="15"/>
        <v>3973.0607841457395</v>
      </c>
      <c r="K47" s="167">
        <f t="shared" si="0"/>
        <v>1324.3535947152468</v>
      </c>
      <c r="L47" s="168" t="s">
        <v>21</v>
      </c>
      <c r="M47" s="169">
        <f>+pronostico!K46*20%</f>
        <v>5297.4143788609872</v>
      </c>
      <c r="N47" s="170">
        <f t="shared" si="2"/>
        <v>21931295.528484486</v>
      </c>
      <c r="O47" s="171">
        <f t="shared" si="3"/>
        <v>8772518.211393794</v>
      </c>
      <c r="P47" s="170">
        <f t="shared" si="16"/>
        <v>2648.7071894304936</v>
      </c>
      <c r="Q47" s="172">
        <f t="shared" si="17"/>
        <v>2648.7071894304936</v>
      </c>
      <c r="R47" s="173">
        <f>+pronostico!K46*8%</f>
        <v>2118.9657515443946</v>
      </c>
      <c r="S47" s="174">
        <f t="shared" si="4"/>
        <v>8772518.211393794</v>
      </c>
      <c r="T47" s="175">
        <f t="shared" si="5"/>
        <v>3509007.2845575176</v>
      </c>
      <c r="U47" s="173">
        <f>+pronostico!K46*8%</f>
        <v>2118.9657515443946</v>
      </c>
      <c r="V47" s="176">
        <f t="shared" si="24"/>
        <v>8772518.211393794</v>
      </c>
      <c r="W47" s="177">
        <f t="shared" si="22"/>
        <v>3509007.2845575176</v>
      </c>
      <c r="X47" s="173">
        <f>+pronostico!K46*2%</f>
        <v>529.74143788609865</v>
      </c>
      <c r="Y47" s="178">
        <f t="shared" si="8"/>
        <v>2193129.5528484485</v>
      </c>
      <c r="Z47" s="178">
        <f t="shared" si="9"/>
        <v>877251.8211393794</v>
      </c>
      <c r="AA47" s="173">
        <f>+pronostico!K46*2%</f>
        <v>529.74143788609865</v>
      </c>
      <c r="AB47" s="179">
        <f t="shared" si="10"/>
        <v>2193129.5528484485</v>
      </c>
      <c r="AC47" s="180">
        <f t="shared" si="11"/>
        <v>877251.8211393794</v>
      </c>
      <c r="AD47" s="173">
        <f>+pronostico!K46*10%</f>
        <v>2648.7071894304936</v>
      </c>
      <c r="AE47" s="176">
        <f t="shared" si="23"/>
        <v>10965647.764242243</v>
      </c>
      <c r="AF47" s="177">
        <f t="shared" si="23"/>
        <v>4386259.105696897</v>
      </c>
    </row>
    <row r="48" spans="1:32" ht="14.25" x14ac:dyDescent="0.2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+pronostico!K47*50%</f>
        <v>14599.449629146817</v>
      </c>
      <c r="G48" s="137">
        <f t="shared" si="13"/>
        <v>31388816.702665657</v>
      </c>
      <c r="H48" s="138">
        <f t="shared" si="13"/>
        <v>15694408.351332828</v>
      </c>
      <c r="I48" s="137">
        <f t="shared" si="21"/>
        <v>8759.6697774880904</v>
      </c>
      <c r="J48" s="139">
        <f t="shared" si="15"/>
        <v>4379.8348887440452</v>
      </c>
      <c r="K48" s="167">
        <f t="shared" si="0"/>
        <v>1459.9449629146818</v>
      </c>
      <c r="L48" s="168" t="s">
        <v>21</v>
      </c>
      <c r="M48" s="169">
        <f>+pronostico!K47*20%</f>
        <v>5839.7798516587272</v>
      </c>
      <c r="N48" s="170">
        <f t="shared" si="2"/>
        <v>12555526.681066263</v>
      </c>
      <c r="O48" s="171">
        <f t="shared" si="3"/>
        <v>6277763.3405331317</v>
      </c>
      <c r="P48" s="170">
        <f t="shared" si="16"/>
        <v>2919.8899258293636</v>
      </c>
      <c r="Q48" s="172">
        <f t="shared" si="17"/>
        <v>2919.8899258293636</v>
      </c>
      <c r="R48" s="173">
        <f>+pronostico!K47*8%</f>
        <v>2335.9119406634909</v>
      </c>
      <c r="S48" s="174">
        <f t="shared" si="4"/>
        <v>5022210.672426505</v>
      </c>
      <c r="T48" s="175">
        <f t="shared" si="5"/>
        <v>2511105.3362132525</v>
      </c>
      <c r="U48" s="173">
        <f>+pronostico!K47*8%</f>
        <v>2335.9119406634909</v>
      </c>
      <c r="V48" s="176">
        <f t="shared" si="24"/>
        <v>5022210.672426505</v>
      </c>
      <c r="W48" s="177">
        <f t="shared" si="22"/>
        <v>2511105.3362132525</v>
      </c>
      <c r="X48" s="173">
        <f>+pronostico!K47*2%</f>
        <v>583.97798516587272</v>
      </c>
      <c r="Y48" s="178">
        <f t="shared" si="8"/>
        <v>1255552.6681066263</v>
      </c>
      <c r="Z48" s="178">
        <f t="shared" si="9"/>
        <v>627776.33405331313</v>
      </c>
      <c r="AA48" s="173">
        <f>+pronostico!K47*2%</f>
        <v>583.97798516587272</v>
      </c>
      <c r="AB48" s="179">
        <f t="shared" si="10"/>
        <v>1255552.6681066263</v>
      </c>
      <c r="AC48" s="180">
        <f t="shared" si="11"/>
        <v>627776.33405331313</v>
      </c>
      <c r="AD48" s="173">
        <f>+pronostico!K47*10%</f>
        <v>2919.8899258293636</v>
      </c>
      <c r="AE48" s="176">
        <f t="shared" si="23"/>
        <v>6277763.3405331317</v>
      </c>
      <c r="AF48" s="177">
        <f t="shared" si="23"/>
        <v>3138881.6702665659</v>
      </c>
    </row>
    <row r="49" spans="1:32" ht="14.25" x14ac:dyDescent="0.2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+pronostico!K48*50%</f>
        <v>11588.093953758418</v>
      </c>
      <c r="G49" s="137">
        <f t="shared" si="13"/>
        <v>24914402.000580598</v>
      </c>
      <c r="H49" s="138">
        <f t="shared" si="13"/>
        <v>12457201.000290299</v>
      </c>
      <c r="I49" s="137">
        <f t="shared" si="21"/>
        <v>6952.8563722550507</v>
      </c>
      <c r="J49" s="139">
        <f t="shared" si="15"/>
        <v>3476.4281861275254</v>
      </c>
      <c r="K49" s="167">
        <f t="shared" si="0"/>
        <v>1158.8093953758419</v>
      </c>
      <c r="L49" s="168" t="s">
        <v>21</v>
      </c>
      <c r="M49" s="169">
        <f>+pronostico!K48*20%</f>
        <v>4635.2375815033674</v>
      </c>
      <c r="N49" s="170">
        <f t="shared" si="2"/>
        <v>9965760.8002322391</v>
      </c>
      <c r="O49" s="171">
        <f t="shared" si="3"/>
        <v>4982880.4001161195</v>
      </c>
      <c r="P49" s="170">
        <f t="shared" si="16"/>
        <v>2317.6187907516837</v>
      </c>
      <c r="Q49" s="172">
        <f t="shared" si="17"/>
        <v>2317.6187907516837</v>
      </c>
      <c r="R49" s="173">
        <f>+pronostico!K48*8%</f>
        <v>1854.0950326013469</v>
      </c>
      <c r="S49" s="174">
        <f t="shared" si="4"/>
        <v>3986304.320092896</v>
      </c>
      <c r="T49" s="175">
        <f t="shared" si="5"/>
        <v>1993152.160046448</v>
      </c>
      <c r="U49" s="173">
        <f>+pronostico!K48*8%</f>
        <v>1854.0950326013469</v>
      </c>
      <c r="V49" s="176">
        <f t="shared" si="24"/>
        <v>3986304.320092896</v>
      </c>
      <c r="W49" s="177">
        <f t="shared" si="22"/>
        <v>1993152.160046448</v>
      </c>
      <c r="X49" s="173">
        <f>+pronostico!K48*2%</f>
        <v>463.52375815033673</v>
      </c>
      <c r="Y49" s="178">
        <f t="shared" si="8"/>
        <v>996576.080023224</v>
      </c>
      <c r="Z49" s="178">
        <f t="shared" si="9"/>
        <v>498288.040011612</v>
      </c>
      <c r="AA49" s="173">
        <f>+pronostico!K48*2%</f>
        <v>463.52375815033673</v>
      </c>
      <c r="AB49" s="179">
        <f t="shared" si="10"/>
        <v>996576.080023224</v>
      </c>
      <c r="AC49" s="180">
        <f t="shared" si="11"/>
        <v>498288.040011612</v>
      </c>
      <c r="AD49" s="173">
        <f>+pronostico!K48*10%</f>
        <v>2317.6187907516837</v>
      </c>
      <c r="AE49" s="176">
        <f t="shared" si="23"/>
        <v>4982880.4001161195</v>
      </c>
      <c r="AF49" s="177">
        <f t="shared" si="23"/>
        <v>2491440.2000580598</v>
      </c>
    </row>
    <row r="50" spans="1:32" ht="14.25" x14ac:dyDescent="0.2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+pronostico!K49*50%</f>
        <v>8484.1402161445676</v>
      </c>
      <c r="G50" s="137">
        <f t="shared" si="13"/>
        <v>34615292.081869833</v>
      </c>
      <c r="H50" s="138">
        <f t="shared" si="13"/>
        <v>13846116.832747934</v>
      </c>
      <c r="I50" s="137">
        <f t="shared" si="21"/>
        <v>5090.4841296867407</v>
      </c>
      <c r="J50" s="139">
        <f t="shared" si="15"/>
        <v>2545.2420648433704</v>
      </c>
      <c r="K50" s="167">
        <f t="shared" si="0"/>
        <v>848.41402161445683</v>
      </c>
      <c r="L50" s="168" t="s">
        <v>21</v>
      </c>
      <c r="M50" s="169">
        <f>+pronostico!K49*20%</f>
        <v>3393.6560864578273</v>
      </c>
      <c r="N50" s="170">
        <f t="shared" si="2"/>
        <v>13846116.832747936</v>
      </c>
      <c r="O50" s="171">
        <f t="shared" si="3"/>
        <v>5538446.7330991747</v>
      </c>
      <c r="P50" s="170">
        <f t="shared" si="16"/>
        <v>1696.8280432289137</v>
      </c>
      <c r="Q50" s="172">
        <f t="shared" si="17"/>
        <v>1696.8280432289137</v>
      </c>
      <c r="R50" s="173">
        <f>+pronostico!K49*8%</f>
        <v>1357.4624345831307</v>
      </c>
      <c r="S50" s="174">
        <f t="shared" si="4"/>
        <v>5538446.7330991738</v>
      </c>
      <c r="T50" s="175">
        <f t="shared" si="5"/>
        <v>2215378.6932396698</v>
      </c>
      <c r="U50" s="173">
        <f>+pronostico!K49*8%</f>
        <v>1357.4624345831307</v>
      </c>
      <c r="V50" s="176">
        <f t="shared" si="24"/>
        <v>5538446.7330991738</v>
      </c>
      <c r="W50" s="177">
        <f t="shared" si="22"/>
        <v>2215378.6932396698</v>
      </c>
      <c r="X50" s="173">
        <f>+pronostico!K49*2%</f>
        <v>339.36560864578269</v>
      </c>
      <c r="Y50" s="178">
        <f t="shared" si="8"/>
        <v>1384611.6832747934</v>
      </c>
      <c r="Z50" s="178">
        <f t="shared" si="9"/>
        <v>553844.67330991745</v>
      </c>
      <c r="AA50" s="173">
        <f>+pronostico!K49*2%</f>
        <v>339.36560864578269</v>
      </c>
      <c r="AB50" s="179">
        <f t="shared" si="10"/>
        <v>1384611.6832747934</v>
      </c>
      <c r="AC50" s="180">
        <f t="shared" si="11"/>
        <v>553844.67330991745</v>
      </c>
      <c r="AD50" s="173">
        <f>+pronostico!K49*10%</f>
        <v>1696.8280432289137</v>
      </c>
      <c r="AE50" s="176">
        <f t="shared" si="23"/>
        <v>6923058.4163739681</v>
      </c>
      <c r="AF50" s="177">
        <f t="shared" si="23"/>
        <v>2769223.3665495873</v>
      </c>
    </row>
    <row r="51" spans="1:32" ht="23.25" thickBot="1" x14ac:dyDescent="0.25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+pronostico!K50*50%</f>
        <v>9242.8844631168249</v>
      </c>
      <c r="G51" s="150">
        <f t="shared" si="13"/>
        <v>51390437.614929549</v>
      </c>
      <c r="H51" s="138">
        <f t="shared" si="13"/>
        <v>20556175.045971822</v>
      </c>
      <c r="I51" s="150">
        <f t="shared" si="21"/>
        <v>5545.730677870095</v>
      </c>
      <c r="J51" s="151">
        <f t="shared" si="15"/>
        <v>2772.8653389350475</v>
      </c>
      <c r="K51" s="181">
        <f t="shared" si="0"/>
        <v>924.28844631168249</v>
      </c>
      <c r="L51" s="182" t="s">
        <v>21</v>
      </c>
      <c r="M51" s="169">
        <f>+pronostico!K50*20%</f>
        <v>3697.15378524673</v>
      </c>
      <c r="N51" s="170">
        <f t="shared" si="2"/>
        <v>20556175.045971818</v>
      </c>
      <c r="O51" s="171">
        <f t="shared" si="3"/>
        <v>8222470.0183887277</v>
      </c>
      <c r="P51" s="183">
        <f t="shared" si="16"/>
        <v>1848.576892623365</v>
      </c>
      <c r="Q51" s="184">
        <f t="shared" si="17"/>
        <v>1848.576892623365</v>
      </c>
      <c r="R51" s="173">
        <f>+pronostico!K50*8%</f>
        <v>1478.8615140986919</v>
      </c>
      <c r="S51" s="174">
        <f t="shared" si="4"/>
        <v>8222470.0183887267</v>
      </c>
      <c r="T51" s="175">
        <f t="shared" si="5"/>
        <v>3288988.0073554907</v>
      </c>
      <c r="U51" s="173">
        <f>+pronostico!K50*8%</f>
        <v>1478.8615140986919</v>
      </c>
      <c r="V51" s="176">
        <f t="shared" si="24"/>
        <v>8222470.0183887267</v>
      </c>
      <c r="W51" s="177">
        <f t="shared" si="22"/>
        <v>3288988.0073554907</v>
      </c>
      <c r="X51" s="173">
        <f>+pronostico!K50*2%</f>
        <v>369.71537852467299</v>
      </c>
      <c r="Y51" s="178">
        <f t="shared" si="8"/>
        <v>2055617.5045971817</v>
      </c>
      <c r="Z51" s="178">
        <f t="shared" si="9"/>
        <v>822247.00183887267</v>
      </c>
      <c r="AA51" s="173">
        <f>+pronostico!K50*2%</f>
        <v>369.71537852467299</v>
      </c>
      <c r="AB51" s="179">
        <f t="shared" si="10"/>
        <v>2055617.5045971817</v>
      </c>
      <c r="AC51" s="180">
        <f t="shared" si="11"/>
        <v>822247.00183887267</v>
      </c>
      <c r="AD51" s="173">
        <f>+pronostico!K50*10%</f>
        <v>1848.576892623365</v>
      </c>
      <c r="AE51" s="176">
        <f t="shared" si="23"/>
        <v>10278087.522985909</v>
      </c>
      <c r="AF51" s="177">
        <f t="shared" si="23"/>
        <v>4111235.0091943638</v>
      </c>
    </row>
    <row r="52" spans="1:32" ht="14.25" x14ac:dyDescent="0.2">
      <c r="A52" s="152"/>
      <c r="B52" s="355" t="s">
        <v>146</v>
      </c>
      <c r="C52" s="188"/>
      <c r="D52" s="188"/>
      <c r="E52" s="189"/>
      <c r="F52" s="185"/>
      <c r="G52" s="280">
        <f>SUM(G4:G51)</f>
        <v>4808541494.19238</v>
      </c>
      <c r="H52" s="186">
        <f>SUM(H4:H51)</f>
        <v>2127277925.7741458</v>
      </c>
      <c r="I52" s="187"/>
      <c r="J52" s="188"/>
      <c r="K52" s="188"/>
      <c r="L52" s="189"/>
      <c r="M52" s="185"/>
      <c r="N52" s="277">
        <f>SUM(N4:N51)</f>
        <v>1923416597.6769519</v>
      </c>
      <c r="O52" s="190">
        <f>SUM(O4:O51)</f>
        <v>850911170.30965829</v>
      </c>
      <c r="P52" s="187"/>
      <c r="Q52" s="189"/>
      <c r="R52" s="185"/>
      <c r="S52" s="274">
        <f>SUM(S4:S51)</f>
        <v>769366639.07078087</v>
      </c>
      <c r="T52" s="191">
        <f>SUM(T4:T51)</f>
        <v>340364468.1238634</v>
      </c>
      <c r="U52" s="185"/>
      <c r="V52" s="274">
        <f>SUM(V4:V51)</f>
        <v>555391895.07078087</v>
      </c>
      <c r="W52" s="191">
        <f>SUM(W4:W51)</f>
        <v>242696652.28386337</v>
      </c>
      <c r="X52" s="185"/>
      <c r="Y52" s="274">
        <f>SUM(Y4:Y51)</f>
        <v>192341659.76769522</v>
      </c>
      <c r="Z52" s="192">
        <f>SUM(Z4:Z51)</f>
        <v>85091117.03096585</v>
      </c>
      <c r="AA52" s="193"/>
      <c r="AB52" s="274">
        <f>SUM(AB4:AB51)</f>
        <v>192341659.76769522</v>
      </c>
      <c r="AC52" s="194">
        <f>SUM(AC4:AC51)</f>
        <v>85091117.03096585</v>
      </c>
      <c r="AD52" s="193"/>
      <c r="AE52" s="274">
        <f>SUM(AE4:AE51)</f>
        <v>961708298.83847594</v>
      </c>
      <c r="AF52" s="194">
        <f>SUM(AF4:AF51)</f>
        <v>425455585.15482914</v>
      </c>
    </row>
    <row r="53" spans="1:32" thickBot="1" x14ac:dyDescent="0.25">
      <c r="A53" s="152"/>
      <c r="B53" s="253" t="s">
        <v>147</v>
      </c>
      <c r="C53" s="254"/>
      <c r="D53" s="254"/>
      <c r="E53" s="256"/>
      <c r="F53" s="253"/>
      <c r="G53" s="281">
        <f>+G52*30%</f>
        <v>1442562448.257714</v>
      </c>
      <c r="H53" s="272"/>
      <c r="I53" s="255"/>
      <c r="J53" s="254"/>
      <c r="K53" s="259"/>
      <c r="L53" s="256"/>
      <c r="M53" s="253"/>
      <c r="N53" s="278">
        <f>+N52*20%</f>
        <v>384683319.53539038</v>
      </c>
      <c r="O53" s="272"/>
      <c r="P53" s="260"/>
      <c r="Q53" s="261"/>
      <c r="R53" s="262"/>
      <c r="S53" s="275">
        <f>+S52*12%</f>
        <v>92323996.688493699</v>
      </c>
      <c r="T53" s="272"/>
      <c r="U53" s="283"/>
      <c r="V53" s="275">
        <f>+V52*12%</f>
        <v>66647027.408493705</v>
      </c>
      <c r="W53" s="272"/>
      <c r="X53" s="283"/>
      <c r="Y53" s="275"/>
      <c r="Z53" s="284"/>
      <c r="AA53" s="283"/>
      <c r="AB53" s="275">
        <f>+AB52*12%</f>
        <v>23080999.172123425</v>
      </c>
      <c r="AC53" s="272"/>
      <c r="AD53" s="283"/>
      <c r="AE53" s="275">
        <f>+AE52*12%</f>
        <v>115404995.86061712</v>
      </c>
      <c r="AF53" s="272"/>
    </row>
    <row r="54" spans="1:32" thickBot="1" x14ac:dyDescent="0.25">
      <c r="A54" s="152"/>
      <c r="B54" s="266" t="s">
        <v>148</v>
      </c>
      <c r="C54" s="267"/>
      <c r="D54" s="267"/>
      <c r="E54" s="269"/>
      <c r="F54" s="266"/>
      <c r="G54" s="282">
        <f>+G52-G53</f>
        <v>3365979045.9346657</v>
      </c>
      <c r="H54" s="273"/>
      <c r="I54" s="268"/>
      <c r="J54" s="267"/>
      <c r="K54" s="267"/>
      <c r="L54" s="269"/>
      <c r="M54" s="266"/>
      <c r="N54" s="279">
        <f>+N52-N53</f>
        <v>1538733278.1415615</v>
      </c>
      <c r="O54" s="273"/>
      <c r="P54" s="268"/>
      <c r="Q54" s="269"/>
      <c r="R54" s="266"/>
      <c r="S54" s="276">
        <f>+S52-S53</f>
        <v>677042642.38228714</v>
      </c>
      <c r="T54" s="273"/>
      <c r="U54" s="285"/>
      <c r="V54" s="276">
        <f>+V52-V53</f>
        <v>488744867.66228718</v>
      </c>
      <c r="W54" s="273"/>
      <c r="X54" s="285"/>
      <c r="Y54" s="276">
        <f>+Y52-Y53</f>
        <v>192341659.76769522</v>
      </c>
      <c r="Z54" s="286"/>
      <c r="AA54" s="285"/>
      <c r="AB54" s="276">
        <f>+AB52-AB53</f>
        <v>169260660.59557179</v>
      </c>
      <c r="AC54" s="273"/>
      <c r="AD54" s="285"/>
      <c r="AE54" s="276">
        <f>+AE52-AE53</f>
        <v>846303302.97785878</v>
      </c>
      <c r="AF54" s="273"/>
    </row>
    <row r="55" spans="1:32" ht="14.25" x14ac:dyDescent="0.2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786" t="s">
        <v>161</v>
      </c>
      <c r="G56" s="787"/>
      <c r="H56" s="788"/>
      <c r="M56" s="786" t="s">
        <v>160</v>
      </c>
      <c r="N56" s="787"/>
      <c r="O56" s="788"/>
      <c r="R56" s="786" t="s">
        <v>159</v>
      </c>
      <c r="S56" s="787"/>
      <c r="T56" s="788"/>
    </row>
    <row r="57" spans="1:32" x14ac:dyDescent="0.25">
      <c r="F57" s="3" t="s">
        <v>155</v>
      </c>
      <c r="G57" s="3"/>
      <c r="H57" s="271">
        <f>+G52</f>
        <v>4808541494.19238</v>
      </c>
      <c r="M57" s="3" t="s">
        <v>155</v>
      </c>
      <c r="N57" s="3"/>
      <c r="O57" s="271">
        <f>+N52</f>
        <v>1923416597.6769519</v>
      </c>
      <c r="R57" s="3" t="s">
        <v>155</v>
      </c>
      <c r="S57" s="3"/>
      <c r="T57" s="271">
        <f>S52+V52+Y52+AB52+AE52</f>
        <v>2671150152.5154281</v>
      </c>
    </row>
    <row r="58" spans="1:32" x14ac:dyDescent="0.25">
      <c r="F58" s="3" t="s">
        <v>156</v>
      </c>
      <c r="G58" s="3"/>
      <c r="H58" s="271">
        <f>+G52-H52</f>
        <v>2681263568.4182339</v>
      </c>
      <c r="M58" s="3" t="s">
        <v>156</v>
      </c>
      <c r="N58" s="3"/>
      <c r="O58" s="271">
        <f>+N52-O52</f>
        <v>1072505427.3672936</v>
      </c>
      <c r="R58" s="3" t="s">
        <v>156</v>
      </c>
      <c r="S58" s="3"/>
      <c r="T58" s="271">
        <f>T57-T59</f>
        <v>1492451212.8909407</v>
      </c>
    </row>
    <row r="59" spans="1:32" x14ac:dyDescent="0.25">
      <c r="F59" s="3" t="s">
        <v>157</v>
      </c>
      <c r="G59" s="3"/>
      <c r="H59" s="271">
        <f>+H52</f>
        <v>2127277925.7741458</v>
      </c>
      <c r="M59" s="3" t="s">
        <v>157</v>
      </c>
      <c r="N59" s="3"/>
      <c r="O59" s="271">
        <f>+O52</f>
        <v>850911170.30965829</v>
      </c>
      <c r="R59" s="3" t="s">
        <v>157</v>
      </c>
      <c r="S59" s="3"/>
      <c r="T59" s="271">
        <f>T52+W52+Z52+AC52+AF52</f>
        <v>1178698939.6244874</v>
      </c>
    </row>
    <row r="60" spans="1:32" x14ac:dyDescent="0.25">
      <c r="F60" s="3" t="s">
        <v>147</v>
      </c>
      <c r="G60" s="3"/>
      <c r="H60" s="271">
        <f>+G53</f>
        <v>1442562448.257714</v>
      </c>
      <c r="M60" s="3" t="s">
        <v>147</v>
      </c>
      <c r="N60" s="3"/>
      <c r="O60" s="271">
        <f>+N53</f>
        <v>384683319.53539038</v>
      </c>
      <c r="R60" s="3" t="s">
        <v>147</v>
      </c>
      <c r="S60" s="3"/>
      <c r="T60" s="271">
        <f>S53+V53+AB53+AE53</f>
        <v>297457019.12972796</v>
      </c>
    </row>
    <row r="61" spans="1:32" x14ac:dyDescent="0.25">
      <c r="F61" s="3" t="s">
        <v>158</v>
      </c>
      <c r="G61" s="3"/>
      <c r="H61" s="271">
        <f>+H59-H60</f>
        <v>684715477.51643181</v>
      </c>
      <c r="M61" s="3" t="s">
        <v>158</v>
      </c>
      <c r="N61" s="3"/>
      <c r="O61" s="271">
        <f>+O59-O60</f>
        <v>466227850.77426791</v>
      </c>
      <c r="R61" s="3" t="s">
        <v>158</v>
      </c>
      <c r="S61" s="3"/>
      <c r="T61" s="271">
        <f>+T59-T60</f>
        <v>881241920.49475944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E40" workbookViewId="0">
      <selection activeCell="S63" sqref="S63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1.5703125" style="1" bestFit="1" customWidth="1"/>
    <col min="17" max="17" width="11.140625" style="1" bestFit="1" customWidth="1"/>
    <col min="18" max="18" width="11.5703125" style="1" bestFit="1" customWidth="1"/>
    <col min="19" max="19" width="15.28515625" style="1" customWidth="1"/>
    <col min="20" max="20" width="15.85546875" style="1" customWidth="1"/>
    <col min="21" max="21" width="11.5703125" style="1" bestFit="1" customWidth="1"/>
    <col min="22" max="29" width="17.28515625" style="1" customWidth="1"/>
    <col min="30" max="30" width="11.5703125" style="1" bestFit="1" customWidth="1"/>
    <col min="31" max="32" width="18.85546875" style="1" customWidth="1"/>
    <col min="33" max="16384" width="11.42578125" style="1"/>
  </cols>
  <sheetData>
    <row r="1" spans="1:32" ht="34.5" thickBot="1" x14ac:dyDescent="0.55000000000000004">
      <c r="A1" s="774" t="s">
        <v>154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AF1" s="776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+pronostico!L3*50%</f>
        <v>84337.13734111852</v>
      </c>
      <c r="G4" s="137">
        <f>F4*D4</f>
        <v>414095344.34489191</v>
      </c>
      <c r="H4" s="138">
        <f>G4*E4</f>
        <v>165638137.73795676</v>
      </c>
      <c r="I4" s="137">
        <f>+F4*50%</f>
        <v>42168.56867055926</v>
      </c>
      <c r="J4" s="139">
        <f>+F4*30%</f>
        <v>25301.141202335555</v>
      </c>
      <c r="K4" s="167">
        <f t="shared" ref="K4:K51" si="0">+F4*10%</f>
        <v>8433.7137341118523</v>
      </c>
      <c r="L4" s="168">
        <f t="shared" ref="L4:L18" si="1">+F4*10%</f>
        <v>8433.7137341118523</v>
      </c>
      <c r="M4" s="169">
        <f>+pronostico!L3*20%</f>
        <v>33734.854936447409</v>
      </c>
      <c r="N4" s="170">
        <f t="shared" ref="N4:N51" si="2">M4*D4</f>
        <v>165638137.73795679</v>
      </c>
      <c r="O4" s="171">
        <f t="shared" ref="O4:O51" si="3">N4*E4</f>
        <v>66255255.095182717</v>
      </c>
      <c r="P4" s="170">
        <f>+M4*50%</f>
        <v>16867.427468223705</v>
      </c>
      <c r="Q4" s="172">
        <f>+M4*50%</f>
        <v>16867.427468223705</v>
      </c>
      <c r="R4" s="173">
        <f>+pronostico!L3*8%</f>
        <v>13493.941974578964</v>
      </c>
      <c r="S4" s="174">
        <f t="shared" ref="S4:S51" si="4">R4*D4</f>
        <v>66255255.095182709</v>
      </c>
      <c r="T4" s="175">
        <f t="shared" ref="T4:T51" si="5">S4*E4</f>
        <v>26502102.038073085</v>
      </c>
      <c r="U4" s="173">
        <f>+pronostico!L3*8%</f>
        <v>13493.941974578964</v>
      </c>
      <c r="V4" s="176">
        <f t="shared" ref="V4:V35" si="6">U4*D4</f>
        <v>66255255.095182709</v>
      </c>
      <c r="W4" s="177">
        <f t="shared" ref="W4:W35" si="7">V4*E4</f>
        <v>26502102.038073085</v>
      </c>
      <c r="X4" s="173">
        <f>+pronostico!L3*2%</f>
        <v>3373.4854936447409</v>
      </c>
      <c r="Y4" s="178">
        <f t="shared" ref="Y4:Y51" si="8">X4*D4</f>
        <v>16563813.773795677</v>
      </c>
      <c r="Z4" s="178">
        <f t="shared" ref="Z4:Z51" si="9">Y4*E4</f>
        <v>6625525.5095182713</v>
      </c>
      <c r="AA4" s="173">
        <f>+pronostico!L3*2%</f>
        <v>3373.4854936447409</v>
      </c>
      <c r="AB4" s="176">
        <f t="shared" ref="AB4:AB51" si="10">AA4*D4</f>
        <v>16563813.773795677</v>
      </c>
      <c r="AC4" s="177">
        <f t="shared" ref="AC4:AC51" si="11">AB4*E4</f>
        <v>6625525.5095182713</v>
      </c>
      <c r="AD4" s="173">
        <f>+pronostico!L3*10%</f>
        <v>16867.427468223705</v>
      </c>
      <c r="AE4" s="176">
        <f>+AD4*D4</f>
        <v>82819068.868978396</v>
      </c>
      <c r="AF4" s="177">
        <f>+AE4*E4</f>
        <v>33127627.547591358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+pronostico!L4*50%</f>
        <v>58866.092296477182</v>
      </c>
      <c r="G5" s="137">
        <f t="shared" ref="G5:H51" si="13">F5*D5</f>
        <v>289032513.17570299</v>
      </c>
      <c r="H5" s="138">
        <f t="shared" si="13"/>
        <v>115613005.2702812</v>
      </c>
      <c r="I5" s="137">
        <f t="shared" ref="I5:I20" si="14">+F5*50%</f>
        <v>29433.046148238591</v>
      </c>
      <c r="J5" s="139">
        <f t="shared" ref="J5:J51" si="15">+F5*30%</f>
        <v>17659.827688943154</v>
      </c>
      <c r="K5" s="167">
        <f t="shared" si="0"/>
        <v>5886.6092296477182</v>
      </c>
      <c r="L5" s="168">
        <f t="shared" si="1"/>
        <v>5886.6092296477182</v>
      </c>
      <c r="M5" s="169">
        <f>+pronostico!L4*20%</f>
        <v>23546.436918590873</v>
      </c>
      <c r="N5" s="170">
        <f t="shared" si="2"/>
        <v>115613005.27028118</v>
      </c>
      <c r="O5" s="171">
        <f t="shared" si="3"/>
        <v>46245202.108112477</v>
      </c>
      <c r="P5" s="170">
        <f t="shared" ref="P5:P51" si="16">+M5*50%</f>
        <v>11773.218459295436</v>
      </c>
      <c r="Q5" s="172">
        <f t="shared" ref="Q5:Q51" si="17">+M5*50%</f>
        <v>11773.218459295436</v>
      </c>
      <c r="R5" s="173">
        <f>+pronostico!L4*8%</f>
        <v>9418.5747674363502</v>
      </c>
      <c r="S5" s="174">
        <f t="shared" si="4"/>
        <v>46245202.108112477</v>
      </c>
      <c r="T5" s="175">
        <f t="shared" si="5"/>
        <v>18498080.843244992</v>
      </c>
      <c r="U5" s="173">
        <f>+pronostico!L4*8%</f>
        <v>9418.5747674363502</v>
      </c>
      <c r="V5" s="176">
        <f t="shared" si="6"/>
        <v>46245202.108112477</v>
      </c>
      <c r="W5" s="177">
        <f t="shared" si="7"/>
        <v>18498080.843244992</v>
      </c>
      <c r="X5" s="173">
        <f>+pronostico!L4*2%</f>
        <v>2354.6436918590875</v>
      </c>
      <c r="Y5" s="178">
        <f t="shared" si="8"/>
        <v>11561300.527028119</v>
      </c>
      <c r="Z5" s="178">
        <f t="shared" si="9"/>
        <v>4624520.210811248</v>
      </c>
      <c r="AA5" s="173">
        <f>+pronostico!L4*2%</f>
        <v>2354.6436918590875</v>
      </c>
      <c r="AB5" s="179">
        <f t="shared" si="10"/>
        <v>11561300.527028119</v>
      </c>
      <c r="AC5" s="180">
        <f t="shared" si="11"/>
        <v>4624520.210811248</v>
      </c>
      <c r="AD5" s="173">
        <f>+pronostico!L4*10%</f>
        <v>11773.218459295436</v>
      </c>
      <c r="AE5" s="176">
        <f t="shared" ref="AE5:AF20" si="18">+AD5*D5</f>
        <v>57806502.63514059</v>
      </c>
      <c r="AF5" s="177">
        <f t="shared" si="18"/>
        <v>23122601.054056238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+pronostico!L5*50%</f>
        <v>17407.212188627236</v>
      </c>
      <c r="G6" s="137">
        <f t="shared" si="13"/>
        <v>104443273.13176341</v>
      </c>
      <c r="H6" s="138">
        <f t="shared" si="13"/>
        <v>41777309.252705365</v>
      </c>
      <c r="I6" s="137">
        <f t="shared" si="14"/>
        <v>8703.6060943136181</v>
      </c>
      <c r="J6" s="139">
        <f t="shared" si="15"/>
        <v>5222.1636565881709</v>
      </c>
      <c r="K6" s="167">
        <f t="shared" si="0"/>
        <v>1740.7212188627236</v>
      </c>
      <c r="L6" s="168">
        <f t="shared" si="1"/>
        <v>1740.7212188627236</v>
      </c>
      <c r="M6" s="169">
        <f>+pronostico!L5*20%</f>
        <v>6962.8848754508945</v>
      </c>
      <c r="N6" s="170">
        <f t="shared" si="2"/>
        <v>41777309.252705365</v>
      </c>
      <c r="O6" s="171">
        <f t="shared" si="3"/>
        <v>16710923.701082148</v>
      </c>
      <c r="P6" s="170">
        <f t="shared" si="16"/>
        <v>3481.4424377254472</v>
      </c>
      <c r="Q6" s="172">
        <f t="shared" si="17"/>
        <v>3481.4424377254472</v>
      </c>
      <c r="R6" s="173">
        <f>+pronostico!L5*8%</f>
        <v>2785.1539501803577</v>
      </c>
      <c r="S6" s="174">
        <f t="shared" si="4"/>
        <v>16710923.701082146</v>
      </c>
      <c r="T6" s="175">
        <f t="shared" si="5"/>
        <v>6684369.4804328587</v>
      </c>
      <c r="U6" s="173">
        <f>+pronostico!L5*8%</f>
        <v>2785.1539501803577</v>
      </c>
      <c r="V6" s="176">
        <f t="shared" si="6"/>
        <v>16710923.701082146</v>
      </c>
      <c r="W6" s="177">
        <f t="shared" si="7"/>
        <v>6684369.4804328587</v>
      </c>
      <c r="X6" s="173">
        <f>+pronostico!L5*2%</f>
        <v>696.28848754508942</v>
      </c>
      <c r="Y6" s="178">
        <f t="shared" si="8"/>
        <v>4177730.9252705364</v>
      </c>
      <c r="Z6" s="178">
        <f t="shared" si="9"/>
        <v>1671092.3701082147</v>
      </c>
      <c r="AA6" s="173">
        <f>+pronostico!L5*2%</f>
        <v>696.28848754508942</v>
      </c>
      <c r="AB6" s="179">
        <f t="shared" si="10"/>
        <v>4177730.9252705364</v>
      </c>
      <c r="AC6" s="180">
        <f t="shared" si="11"/>
        <v>1671092.3701082147</v>
      </c>
      <c r="AD6" s="173">
        <f>+pronostico!L5*10%</f>
        <v>3481.4424377254472</v>
      </c>
      <c r="AE6" s="176">
        <f t="shared" si="18"/>
        <v>20888654.626352683</v>
      </c>
      <c r="AF6" s="177">
        <f t="shared" si="18"/>
        <v>8355461.8505410738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+pronostico!L6*50%</f>
        <v>32586.301217110176</v>
      </c>
      <c r="G7" s="137">
        <f t="shared" si="13"/>
        <v>167167725.24377522</v>
      </c>
      <c r="H7" s="138">
        <f t="shared" si="13"/>
        <v>66867090.097510092</v>
      </c>
      <c r="I7" s="137">
        <f t="shared" si="14"/>
        <v>16293.150608555088</v>
      </c>
      <c r="J7" s="139">
        <f t="shared" si="15"/>
        <v>9775.8903651330529</v>
      </c>
      <c r="K7" s="167">
        <f t="shared" si="0"/>
        <v>3258.6301217110176</v>
      </c>
      <c r="L7" s="168">
        <f t="shared" si="1"/>
        <v>3258.6301217110176</v>
      </c>
      <c r="M7" s="169">
        <f>+pronostico!L6*20%</f>
        <v>13034.520486844071</v>
      </c>
      <c r="N7" s="170">
        <f t="shared" si="2"/>
        <v>66867090.097510085</v>
      </c>
      <c r="O7" s="171">
        <f t="shared" si="3"/>
        <v>26746836.039004035</v>
      </c>
      <c r="P7" s="170">
        <f t="shared" si="16"/>
        <v>6517.2602434220353</v>
      </c>
      <c r="Q7" s="172">
        <f t="shared" si="17"/>
        <v>6517.2602434220353</v>
      </c>
      <c r="R7" s="173">
        <f>+pronostico!L6*8%</f>
        <v>5213.8081947376286</v>
      </c>
      <c r="S7" s="174">
        <f t="shared" si="4"/>
        <v>26746836.039004035</v>
      </c>
      <c r="T7" s="175">
        <f t="shared" si="5"/>
        <v>10698734.415601615</v>
      </c>
      <c r="U7" s="173">
        <f>+pronostico!L6*8%</f>
        <v>5213.8081947376286</v>
      </c>
      <c r="V7" s="176">
        <f t="shared" si="6"/>
        <v>26746836.039004035</v>
      </c>
      <c r="W7" s="177">
        <f t="shared" si="7"/>
        <v>10698734.415601615</v>
      </c>
      <c r="X7" s="173">
        <f>+pronostico!L6*2%</f>
        <v>1303.4520486844071</v>
      </c>
      <c r="Y7" s="178">
        <f t="shared" si="8"/>
        <v>6686709.0097510088</v>
      </c>
      <c r="Z7" s="178">
        <f t="shared" si="9"/>
        <v>2674683.6039004037</v>
      </c>
      <c r="AA7" s="173">
        <f>+pronostico!L6*2%</f>
        <v>1303.4520486844071</v>
      </c>
      <c r="AB7" s="179">
        <f t="shared" si="10"/>
        <v>6686709.0097510088</v>
      </c>
      <c r="AC7" s="180">
        <f t="shared" si="11"/>
        <v>2674683.6039004037</v>
      </c>
      <c r="AD7" s="173">
        <f>+pronostico!L6*10%</f>
        <v>6517.2602434220353</v>
      </c>
      <c r="AE7" s="176">
        <f t="shared" si="18"/>
        <v>33433545.048755042</v>
      </c>
      <c r="AF7" s="177">
        <f t="shared" si="18"/>
        <v>13373418.019502018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+pronostico!L7*50%</f>
        <v>24222.667395903543</v>
      </c>
      <c r="G8" s="137">
        <f t="shared" si="13"/>
        <v>207103806.23497531</v>
      </c>
      <c r="H8" s="138">
        <f t="shared" si="13"/>
        <v>82841522.493990123</v>
      </c>
      <c r="I8" s="137">
        <f t="shared" si="14"/>
        <v>12111.333697951772</v>
      </c>
      <c r="J8" s="139">
        <f t="shared" si="15"/>
        <v>7266.8002187710626</v>
      </c>
      <c r="K8" s="167">
        <f t="shared" si="0"/>
        <v>2422.2667395903545</v>
      </c>
      <c r="L8" s="168">
        <f t="shared" si="1"/>
        <v>2422.2667395903545</v>
      </c>
      <c r="M8" s="169">
        <f>+pronostico!L7*20%</f>
        <v>9689.0669583614181</v>
      </c>
      <c r="N8" s="170">
        <f t="shared" si="2"/>
        <v>82841522.493990123</v>
      </c>
      <c r="O8" s="171">
        <f t="shared" si="3"/>
        <v>33136608.997596052</v>
      </c>
      <c r="P8" s="170">
        <f t="shared" si="16"/>
        <v>4844.533479180709</v>
      </c>
      <c r="Q8" s="172">
        <f t="shared" si="17"/>
        <v>4844.533479180709</v>
      </c>
      <c r="R8" s="173">
        <f>+pronostico!L7*8%</f>
        <v>3875.6267833445672</v>
      </c>
      <c r="S8" s="174">
        <f t="shared" si="4"/>
        <v>33136608.997596052</v>
      </c>
      <c r="T8" s="175">
        <f t="shared" si="5"/>
        <v>13254643.599038422</v>
      </c>
      <c r="U8" s="173">
        <f>+pronostico!L7*8%</f>
        <v>3875.6267833445672</v>
      </c>
      <c r="V8" s="176">
        <f t="shared" si="6"/>
        <v>33136608.997596052</v>
      </c>
      <c r="W8" s="177">
        <f t="shared" si="7"/>
        <v>13254643.599038422</v>
      </c>
      <c r="X8" s="173">
        <f>+pronostico!L7*2%</f>
        <v>968.90669583614181</v>
      </c>
      <c r="Y8" s="178">
        <f t="shared" si="8"/>
        <v>8284152.2493990129</v>
      </c>
      <c r="Z8" s="178">
        <f t="shared" si="9"/>
        <v>3313660.8997596055</v>
      </c>
      <c r="AA8" s="173">
        <f>+pronostico!L7*2%</f>
        <v>968.90669583614181</v>
      </c>
      <c r="AB8" s="179">
        <f t="shared" si="10"/>
        <v>8284152.2493990129</v>
      </c>
      <c r="AC8" s="180">
        <f t="shared" si="11"/>
        <v>3313660.8997596055</v>
      </c>
      <c r="AD8" s="173">
        <f>+pronostico!L7*10%</f>
        <v>4844.533479180709</v>
      </c>
      <c r="AE8" s="176">
        <f t="shared" si="18"/>
        <v>41420761.246995062</v>
      </c>
      <c r="AF8" s="177">
        <f t="shared" si="18"/>
        <v>16568304.498798026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+pronostico!L8*50%</f>
        <v>27345.591066922789</v>
      </c>
      <c r="G9" s="137">
        <f t="shared" si="13"/>
        <v>276190469.77592015</v>
      </c>
      <c r="H9" s="138">
        <f t="shared" si="13"/>
        <v>110476187.91036807</v>
      </c>
      <c r="I9" s="137">
        <f t="shared" si="14"/>
        <v>13672.795533461394</v>
      </c>
      <c r="J9" s="139">
        <f t="shared" si="15"/>
        <v>8203.6773200768366</v>
      </c>
      <c r="K9" s="167">
        <f t="shared" si="0"/>
        <v>2734.5591066922789</v>
      </c>
      <c r="L9" s="168">
        <f t="shared" si="1"/>
        <v>2734.5591066922789</v>
      </c>
      <c r="M9" s="169">
        <f>+pronostico!L8*20%</f>
        <v>10938.236426769115</v>
      </c>
      <c r="N9" s="170">
        <f t="shared" si="2"/>
        <v>110476187.91036807</v>
      </c>
      <c r="O9" s="171">
        <f t="shared" si="3"/>
        <v>44190475.164147228</v>
      </c>
      <c r="P9" s="170">
        <f t="shared" si="16"/>
        <v>5469.1182133845577</v>
      </c>
      <c r="Q9" s="172">
        <f t="shared" si="17"/>
        <v>5469.1182133845577</v>
      </c>
      <c r="R9" s="173">
        <f>+pronostico!L8*8%</f>
        <v>4375.294570707646</v>
      </c>
      <c r="S9" s="174">
        <f t="shared" si="4"/>
        <v>44190475.164147228</v>
      </c>
      <c r="T9" s="175">
        <f t="shared" si="5"/>
        <v>17676190.065658893</v>
      </c>
      <c r="U9" s="173">
        <f>+pronostico!L8*8%</f>
        <v>4375.294570707646</v>
      </c>
      <c r="V9" s="176">
        <f t="shared" si="6"/>
        <v>44190475.164147228</v>
      </c>
      <c r="W9" s="177">
        <f t="shared" si="7"/>
        <v>17676190.065658893</v>
      </c>
      <c r="X9" s="173">
        <f>+pronostico!L8*2%</f>
        <v>1093.8236426769115</v>
      </c>
      <c r="Y9" s="178">
        <f t="shared" si="8"/>
        <v>11047618.791036807</v>
      </c>
      <c r="Z9" s="178">
        <f t="shared" si="9"/>
        <v>4419047.5164147234</v>
      </c>
      <c r="AA9" s="173">
        <f>+pronostico!L8*2%</f>
        <v>1093.8236426769115</v>
      </c>
      <c r="AB9" s="179">
        <f t="shared" si="10"/>
        <v>11047618.791036807</v>
      </c>
      <c r="AC9" s="180">
        <f t="shared" si="11"/>
        <v>4419047.5164147234</v>
      </c>
      <c r="AD9" s="173">
        <f>+pronostico!L8*10%</f>
        <v>5469.1182133845577</v>
      </c>
      <c r="AE9" s="176">
        <f t="shared" si="18"/>
        <v>55238093.955184035</v>
      </c>
      <c r="AF9" s="177">
        <f t="shared" si="18"/>
        <v>22095237.582073614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+pronostico!L9*50%</f>
        <v>33079.923961606059</v>
      </c>
      <c r="G10" s="137">
        <f t="shared" si="13"/>
        <v>77407022.070158184</v>
      </c>
      <c r="H10" s="138">
        <f t="shared" si="13"/>
        <v>38703511.035079092</v>
      </c>
      <c r="I10" s="137">
        <f t="shared" si="14"/>
        <v>16539.961980803029</v>
      </c>
      <c r="J10" s="139">
        <f t="shared" si="15"/>
        <v>9923.9771884818165</v>
      </c>
      <c r="K10" s="167">
        <f t="shared" si="0"/>
        <v>3307.9923961606059</v>
      </c>
      <c r="L10" s="168">
        <f t="shared" si="1"/>
        <v>3307.9923961606059</v>
      </c>
      <c r="M10" s="169">
        <f>+pronostico!L9*20%</f>
        <v>13231.969584642424</v>
      </c>
      <c r="N10" s="170">
        <f t="shared" si="2"/>
        <v>30962808.828063272</v>
      </c>
      <c r="O10" s="171">
        <f t="shared" si="3"/>
        <v>15481404.414031636</v>
      </c>
      <c r="P10" s="170">
        <f t="shared" si="16"/>
        <v>6615.9847923212119</v>
      </c>
      <c r="Q10" s="172">
        <f t="shared" si="17"/>
        <v>6615.9847923212119</v>
      </c>
      <c r="R10" s="173">
        <f>+pronostico!L9*8%</f>
        <v>5292.7878338569699</v>
      </c>
      <c r="S10" s="174">
        <f t="shared" si="4"/>
        <v>12385123.531225309</v>
      </c>
      <c r="T10" s="175">
        <f t="shared" si="5"/>
        <v>6192561.7656126544</v>
      </c>
      <c r="U10" s="173">
        <f>+pronostico!L9*8%</f>
        <v>5292.7878338569699</v>
      </c>
      <c r="V10" s="176">
        <f t="shared" si="6"/>
        <v>12385123.531225309</v>
      </c>
      <c r="W10" s="177">
        <f t="shared" si="7"/>
        <v>6192561.7656126544</v>
      </c>
      <c r="X10" s="173">
        <f>+pronostico!L9*2%</f>
        <v>1323.1969584642425</v>
      </c>
      <c r="Y10" s="178">
        <f t="shared" si="8"/>
        <v>3096280.8828063272</v>
      </c>
      <c r="Z10" s="178">
        <f t="shared" si="9"/>
        <v>1548140.4414031636</v>
      </c>
      <c r="AA10" s="173">
        <f>+pronostico!L9*2%</f>
        <v>1323.1969584642425</v>
      </c>
      <c r="AB10" s="179">
        <f t="shared" si="10"/>
        <v>3096280.8828063272</v>
      </c>
      <c r="AC10" s="180">
        <f t="shared" si="11"/>
        <v>1548140.4414031636</v>
      </c>
      <c r="AD10" s="173">
        <f>+pronostico!L9*10%</f>
        <v>6615.9847923212119</v>
      </c>
      <c r="AE10" s="176">
        <f t="shared" si="18"/>
        <v>15481404.414031636</v>
      </c>
      <c r="AF10" s="177">
        <f t="shared" si="18"/>
        <v>7740702.207015818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+pronostico!L10*50%</f>
        <v>13979.815691486745</v>
      </c>
      <c r="G11" s="137">
        <f t="shared" si="13"/>
        <v>32712768.718078982</v>
      </c>
      <c r="H11" s="138">
        <f t="shared" si="13"/>
        <v>16356384.359039491</v>
      </c>
      <c r="I11" s="137">
        <f t="shared" si="14"/>
        <v>6989.9078457433725</v>
      </c>
      <c r="J11" s="139">
        <f t="shared" si="15"/>
        <v>4193.9447074460231</v>
      </c>
      <c r="K11" s="167">
        <f t="shared" si="0"/>
        <v>1397.9815691486747</v>
      </c>
      <c r="L11" s="168">
        <f t="shared" si="1"/>
        <v>1397.9815691486747</v>
      </c>
      <c r="M11" s="169">
        <f>+pronostico!L10*20%</f>
        <v>5591.9262765946987</v>
      </c>
      <c r="N11" s="170">
        <f t="shared" si="2"/>
        <v>13085107.487231595</v>
      </c>
      <c r="O11" s="171">
        <f t="shared" si="3"/>
        <v>6542553.7436157977</v>
      </c>
      <c r="P11" s="170">
        <f t="shared" si="16"/>
        <v>2795.9631382973494</v>
      </c>
      <c r="Q11" s="172">
        <f t="shared" si="17"/>
        <v>2795.9631382973494</v>
      </c>
      <c r="R11" s="173">
        <f>+pronostico!L10*8%</f>
        <v>2236.7705106378794</v>
      </c>
      <c r="S11" s="174">
        <f t="shared" si="4"/>
        <v>5234042.9948926382</v>
      </c>
      <c r="T11" s="175">
        <f t="shared" si="5"/>
        <v>2617021.4974463191</v>
      </c>
      <c r="U11" s="173">
        <f>+pronostico!L10*8%</f>
        <v>2236.7705106378794</v>
      </c>
      <c r="V11" s="176">
        <f t="shared" si="6"/>
        <v>5234042.9948926382</v>
      </c>
      <c r="W11" s="177">
        <f t="shared" si="7"/>
        <v>2617021.4974463191</v>
      </c>
      <c r="X11" s="173">
        <f>+pronostico!L10*2%</f>
        <v>559.19262765946985</v>
      </c>
      <c r="Y11" s="178">
        <f t="shared" si="8"/>
        <v>1308510.7487231595</v>
      </c>
      <c r="Z11" s="178">
        <f t="shared" si="9"/>
        <v>654255.37436157977</v>
      </c>
      <c r="AA11" s="173">
        <f>+pronostico!L10*2%</f>
        <v>559.19262765946985</v>
      </c>
      <c r="AB11" s="179">
        <f t="shared" si="10"/>
        <v>1308510.7487231595</v>
      </c>
      <c r="AC11" s="180">
        <f t="shared" si="11"/>
        <v>654255.37436157977</v>
      </c>
      <c r="AD11" s="173">
        <f>+pronostico!L10*10%</f>
        <v>2795.9631382973494</v>
      </c>
      <c r="AE11" s="176">
        <f t="shared" si="18"/>
        <v>6542553.7436157977</v>
      </c>
      <c r="AF11" s="177">
        <f t="shared" si="18"/>
        <v>3271276.8718078989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+pronostico!L11*50%</f>
        <v>55427.889516478142</v>
      </c>
      <c r="G12" s="137">
        <f t="shared" si="13"/>
        <v>124158472.51691104</v>
      </c>
      <c r="H12" s="138">
        <f t="shared" si="13"/>
        <v>62079236.258455522</v>
      </c>
      <c r="I12" s="137">
        <f t="shared" si="14"/>
        <v>27713.944758239071</v>
      </c>
      <c r="J12" s="139">
        <f t="shared" si="15"/>
        <v>16628.366854943441</v>
      </c>
      <c r="K12" s="167">
        <f t="shared" si="0"/>
        <v>5542.7889516478144</v>
      </c>
      <c r="L12" s="168">
        <f t="shared" si="1"/>
        <v>5542.7889516478144</v>
      </c>
      <c r="M12" s="169">
        <f>+pronostico!L11*20%</f>
        <v>22171.155806591258</v>
      </c>
      <c r="N12" s="170">
        <f t="shared" si="2"/>
        <v>49663389.006764419</v>
      </c>
      <c r="O12" s="171">
        <f t="shared" si="3"/>
        <v>24831694.50338221</v>
      </c>
      <c r="P12" s="170">
        <f t="shared" si="16"/>
        <v>11085.577903295629</v>
      </c>
      <c r="Q12" s="172">
        <f t="shared" si="17"/>
        <v>11085.577903295629</v>
      </c>
      <c r="R12" s="173">
        <f>+pronostico!L11*8%</f>
        <v>8868.4623226365038</v>
      </c>
      <c r="S12" s="174">
        <f t="shared" si="4"/>
        <v>19865355.602705769</v>
      </c>
      <c r="T12" s="175">
        <f t="shared" si="5"/>
        <v>9932677.8013528846</v>
      </c>
      <c r="U12" s="173">
        <f>+pronostico!L11*8%</f>
        <v>8868.4623226365038</v>
      </c>
      <c r="V12" s="176">
        <f t="shared" si="6"/>
        <v>19865355.602705769</v>
      </c>
      <c r="W12" s="177">
        <f t="shared" si="7"/>
        <v>9932677.8013528846</v>
      </c>
      <c r="X12" s="173">
        <f>+pronostico!L11*2%</f>
        <v>2217.115580659126</v>
      </c>
      <c r="Y12" s="178">
        <f t="shared" si="8"/>
        <v>4966338.9006764423</v>
      </c>
      <c r="Z12" s="178">
        <f t="shared" si="9"/>
        <v>2483169.4503382212</v>
      </c>
      <c r="AA12" s="173">
        <f>+pronostico!L11*2%</f>
        <v>2217.115580659126</v>
      </c>
      <c r="AB12" s="179">
        <f t="shared" si="10"/>
        <v>4966338.9006764423</v>
      </c>
      <c r="AC12" s="180">
        <f t="shared" si="11"/>
        <v>2483169.4503382212</v>
      </c>
      <c r="AD12" s="173">
        <f>+pronostico!L11*10%</f>
        <v>11085.577903295629</v>
      </c>
      <c r="AE12" s="176">
        <f t="shared" si="18"/>
        <v>24831694.50338221</v>
      </c>
      <c r="AF12" s="177">
        <f t="shared" si="18"/>
        <v>12415847.251691105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+pronostico!L12*50%</f>
        <v>45330.415983993764</v>
      </c>
      <c r="G13" s="137">
        <f t="shared" si="13"/>
        <v>104259956.76318565</v>
      </c>
      <c r="H13" s="138">
        <f t="shared" si="13"/>
        <v>52129978.381592825</v>
      </c>
      <c r="I13" s="137">
        <f t="shared" si="14"/>
        <v>22665.207991996882</v>
      </c>
      <c r="J13" s="139">
        <f t="shared" si="15"/>
        <v>13599.12479519813</v>
      </c>
      <c r="K13" s="167">
        <f t="shared" si="0"/>
        <v>4533.0415983993762</v>
      </c>
      <c r="L13" s="168">
        <f t="shared" si="1"/>
        <v>4533.0415983993762</v>
      </c>
      <c r="M13" s="169">
        <f>+pronostico!L12*20%</f>
        <v>18132.166393597505</v>
      </c>
      <c r="N13" s="170">
        <f t="shared" si="2"/>
        <v>41703982.705274262</v>
      </c>
      <c r="O13" s="171">
        <f t="shared" si="3"/>
        <v>20851991.352637131</v>
      </c>
      <c r="P13" s="170">
        <f t="shared" si="16"/>
        <v>9066.0831967987524</v>
      </c>
      <c r="Q13" s="172">
        <f t="shared" si="17"/>
        <v>9066.0831967987524</v>
      </c>
      <c r="R13" s="173">
        <f>+pronostico!L12*8%</f>
        <v>7252.8665574390025</v>
      </c>
      <c r="S13" s="174">
        <f t="shared" si="4"/>
        <v>16681593.082109706</v>
      </c>
      <c r="T13" s="175">
        <f t="shared" si="5"/>
        <v>8340796.5410548532</v>
      </c>
      <c r="U13" s="173">
        <f>+pronostico!L12*8%</f>
        <v>7252.8665574390025</v>
      </c>
      <c r="V13" s="176">
        <f t="shared" si="6"/>
        <v>16681593.082109706</v>
      </c>
      <c r="W13" s="177">
        <f t="shared" si="7"/>
        <v>8340796.5410548532</v>
      </c>
      <c r="X13" s="173">
        <f>+pronostico!L12*2%</f>
        <v>1813.2166393597506</v>
      </c>
      <c r="Y13" s="178">
        <f t="shared" si="8"/>
        <v>4170398.2705274266</v>
      </c>
      <c r="Z13" s="178">
        <f t="shared" si="9"/>
        <v>2085199.1352637133</v>
      </c>
      <c r="AA13" s="173">
        <f>+pronostico!L12*2%</f>
        <v>1813.2166393597506</v>
      </c>
      <c r="AB13" s="179">
        <f t="shared" si="10"/>
        <v>4170398.2705274266</v>
      </c>
      <c r="AC13" s="180">
        <f t="shared" si="11"/>
        <v>2085199.1352637133</v>
      </c>
      <c r="AD13" s="173">
        <f>+pronostico!L12*10%</f>
        <v>9066.0831967987524</v>
      </c>
      <c r="AE13" s="176">
        <f t="shared" si="18"/>
        <v>20851991.352637131</v>
      </c>
      <c r="AF13" s="177">
        <f t="shared" si="18"/>
        <v>10425995.676318565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+pronostico!L13*50%</f>
        <v>29256.800362919825</v>
      </c>
      <c r="G14" s="137">
        <f t="shared" si="13"/>
        <v>36863568.457278982</v>
      </c>
      <c r="H14" s="138">
        <f t="shared" si="13"/>
        <v>18431784.228639491</v>
      </c>
      <c r="I14" s="137">
        <f t="shared" si="14"/>
        <v>14628.400181459912</v>
      </c>
      <c r="J14" s="139">
        <f t="shared" si="15"/>
        <v>8777.0401088759463</v>
      </c>
      <c r="K14" s="167">
        <f t="shared" si="0"/>
        <v>2925.6800362919826</v>
      </c>
      <c r="L14" s="168">
        <f t="shared" si="1"/>
        <v>2925.6800362919826</v>
      </c>
      <c r="M14" s="169">
        <f>+pronostico!L13*20%</f>
        <v>11702.72014516793</v>
      </c>
      <c r="N14" s="170">
        <f t="shared" si="2"/>
        <v>14745427.382911593</v>
      </c>
      <c r="O14" s="171">
        <f t="shared" si="3"/>
        <v>7372713.6914557964</v>
      </c>
      <c r="P14" s="170">
        <f t="shared" si="16"/>
        <v>5851.3600725839651</v>
      </c>
      <c r="Q14" s="172">
        <f t="shared" si="17"/>
        <v>5851.3600725839651</v>
      </c>
      <c r="R14" s="173">
        <f>+pronostico!L13*8%</f>
        <v>4681.0880580671719</v>
      </c>
      <c r="S14" s="174">
        <f t="shared" si="4"/>
        <v>5898170.9531646362</v>
      </c>
      <c r="T14" s="175">
        <f t="shared" si="5"/>
        <v>2949085.4765823181</v>
      </c>
      <c r="U14" s="173">
        <f>+pronostico!L13*8%</f>
        <v>4681.0880580671719</v>
      </c>
      <c r="V14" s="176">
        <f t="shared" si="6"/>
        <v>5898170.9531646362</v>
      </c>
      <c r="W14" s="177">
        <f t="shared" si="7"/>
        <v>2949085.4765823181</v>
      </c>
      <c r="X14" s="173">
        <f>+pronostico!L13*2%</f>
        <v>1170.272014516793</v>
      </c>
      <c r="Y14" s="178">
        <f t="shared" si="8"/>
        <v>1474542.738291159</v>
      </c>
      <c r="Z14" s="178">
        <f t="shared" si="9"/>
        <v>737271.36914557952</v>
      </c>
      <c r="AA14" s="173">
        <f>+pronostico!L13*2%</f>
        <v>1170.272014516793</v>
      </c>
      <c r="AB14" s="179">
        <f t="shared" si="10"/>
        <v>1474542.738291159</v>
      </c>
      <c r="AC14" s="180">
        <f t="shared" si="11"/>
        <v>737271.36914557952</v>
      </c>
      <c r="AD14" s="173">
        <f>+pronostico!L13*10%</f>
        <v>5851.3600725839651</v>
      </c>
      <c r="AE14" s="176">
        <f t="shared" si="18"/>
        <v>7372713.6914557964</v>
      </c>
      <c r="AF14" s="177">
        <f t="shared" si="18"/>
        <v>3686356.8457278982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+pronostico!L14*50%</f>
        <v>22954.251079919719</v>
      </c>
      <c r="G15" s="137">
        <f t="shared" si="13"/>
        <v>28922356.360698845</v>
      </c>
      <c r="H15" s="138">
        <f t="shared" si="13"/>
        <v>14461178.180349423</v>
      </c>
      <c r="I15" s="137">
        <f t="shared" si="14"/>
        <v>11477.125539959859</v>
      </c>
      <c r="J15" s="139">
        <f t="shared" si="15"/>
        <v>6886.2753239759159</v>
      </c>
      <c r="K15" s="167">
        <f t="shared" si="0"/>
        <v>2295.4251079919718</v>
      </c>
      <c r="L15" s="168">
        <f t="shared" si="1"/>
        <v>2295.4251079919718</v>
      </c>
      <c r="M15" s="169">
        <f>+pronostico!L14*20%</f>
        <v>9181.7004319678872</v>
      </c>
      <c r="N15" s="170">
        <f t="shared" si="2"/>
        <v>11568942.544279538</v>
      </c>
      <c r="O15" s="171">
        <f t="shared" si="3"/>
        <v>5784471.272139769</v>
      </c>
      <c r="P15" s="170">
        <f t="shared" si="16"/>
        <v>4590.8502159839436</v>
      </c>
      <c r="Q15" s="172">
        <f t="shared" si="17"/>
        <v>4590.8502159839436</v>
      </c>
      <c r="R15" s="173">
        <f>+pronostico!L14*8%</f>
        <v>3672.6801727871552</v>
      </c>
      <c r="S15" s="174">
        <f t="shared" si="4"/>
        <v>4627577.0177118154</v>
      </c>
      <c r="T15" s="175">
        <f t="shared" si="5"/>
        <v>2313788.5088559077</v>
      </c>
      <c r="U15" s="173">
        <f>+pronostico!L14*8%</f>
        <v>3672.6801727871552</v>
      </c>
      <c r="V15" s="176">
        <f t="shared" si="6"/>
        <v>4627577.0177118154</v>
      </c>
      <c r="W15" s="177">
        <f t="shared" si="7"/>
        <v>2313788.5088559077</v>
      </c>
      <c r="X15" s="173">
        <f>+pronostico!L14*2%</f>
        <v>918.17004319678881</v>
      </c>
      <c r="Y15" s="178">
        <f t="shared" si="8"/>
        <v>1156894.2544279539</v>
      </c>
      <c r="Z15" s="178">
        <f t="shared" si="9"/>
        <v>578447.12721397693</v>
      </c>
      <c r="AA15" s="173">
        <f>+pronostico!L14*2%</f>
        <v>918.17004319678881</v>
      </c>
      <c r="AB15" s="179">
        <f t="shared" si="10"/>
        <v>1156894.2544279539</v>
      </c>
      <c r="AC15" s="180">
        <f t="shared" si="11"/>
        <v>578447.12721397693</v>
      </c>
      <c r="AD15" s="173">
        <f>+pronostico!L14*10%</f>
        <v>4590.8502159839436</v>
      </c>
      <c r="AE15" s="176">
        <f t="shared" si="18"/>
        <v>5784471.272139769</v>
      </c>
      <c r="AF15" s="177">
        <f t="shared" si="18"/>
        <v>2892235.6360698845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+pronostico!L15*50%</f>
        <v>33557.197524698386</v>
      </c>
      <c r="G16" s="137">
        <f t="shared" si="13"/>
        <v>90940005.291932628</v>
      </c>
      <c r="H16" s="138">
        <f t="shared" si="13"/>
        <v>45470002.645966314</v>
      </c>
      <c r="I16" s="137">
        <f t="shared" si="14"/>
        <v>16778.598762349193</v>
      </c>
      <c r="J16" s="139">
        <f t="shared" si="15"/>
        <v>10067.159257409516</v>
      </c>
      <c r="K16" s="167">
        <f t="shared" si="0"/>
        <v>3355.7197524698386</v>
      </c>
      <c r="L16" s="168">
        <f t="shared" si="1"/>
        <v>3355.7197524698386</v>
      </c>
      <c r="M16" s="169">
        <f>+pronostico!L15*20%</f>
        <v>13422.879009879354</v>
      </c>
      <c r="N16" s="170">
        <f t="shared" si="2"/>
        <v>36376002.116773047</v>
      </c>
      <c r="O16" s="171">
        <f t="shared" si="3"/>
        <v>18188001.058386523</v>
      </c>
      <c r="P16" s="170">
        <f t="shared" si="16"/>
        <v>6711.4395049396771</v>
      </c>
      <c r="Q16" s="172">
        <f t="shared" si="17"/>
        <v>6711.4395049396771</v>
      </c>
      <c r="R16" s="173">
        <f>+pronostico!L15*8%</f>
        <v>5369.1516039517419</v>
      </c>
      <c r="S16" s="174">
        <f t="shared" si="4"/>
        <v>14550400.84670922</v>
      </c>
      <c r="T16" s="175">
        <f t="shared" si="5"/>
        <v>7275200.4233546099</v>
      </c>
      <c r="U16" s="173">
        <f>+pronostico!L15*8%</f>
        <v>5369.1516039517419</v>
      </c>
      <c r="V16" s="176">
        <f t="shared" si="6"/>
        <v>14550400.84670922</v>
      </c>
      <c r="W16" s="177">
        <f t="shared" si="7"/>
        <v>7275200.4233546099</v>
      </c>
      <c r="X16" s="173">
        <f>+pronostico!L15*2%</f>
        <v>1342.2879009879355</v>
      </c>
      <c r="Y16" s="178">
        <f t="shared" si="8"/>
        <v>3637600.2116773049</v>
      </c>
      <c r="Z16" s="178">
        <f t="shared" si="9"/>
        <v>1818800.1058386525</v>
      </c>
      <c r="AA16" s="173">
        <f>+pronostico!L15*2%</f>
        <v>1342.2879009879355</v>
      </c>
      <c r="AB16" s="179">
        <f t="shared" si="10"/>
        <v>3637600.2116773049</v>
      </c>
      <c r="AC16" s="180">
        <f t="shared" si="11"/>
        <v>1818800.1058386525</v>
      </c>
      <c r="AD16" s="173">
        <f>+pronostico!L15*10%</f>
        <v>6711.4395049396771</v>
      </c>
      <c r="AE16" s="176">
        <f t="shared" si="18"/>
        <v>18188001.058386523</v>
      </c>
      <c r="AF16" s="177">
        <f t="shared" si="18"/>
        <v>9094000.5291932616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+pronostico!L16*50%</f>
        <v>33063.709325805736</v>
      </c>
      <c r="G17" s="137">
        <f t="shared" si="13"/>
        <v>48934289.802192487</v>
      </c>
      <c r="H17" s="138">
        <f t="shared" si="13"/>
        <v>24467144.901096243</v>
      </c>
      <c r="I17" s="137">
        <f t="shared" si="14"/>
        <v>16531.854662902868</v>
      </c>
      <c r="J17" s="139">
        <f t="shared" si="15"/>
        <v>9919.11279774172</v>
      </c>
      <c r="K17" s="167">
        <f t="shared" si="0"/>
        <v>3306.3709325805739</v>
      </c>
      <c r="L17" s="168">
        <f t="shared" si="1"/>
        <v>3306.3709325805739</v>
      </c>
      <c r="M17" s="169">
        <f>+pronostico!L16*20%</f>
        <v>13225.483730322296</v>
      </c>
      <c r="N17" s="170">
        <f t="shared" si="2"/>
        <v>19573715.920876998</v>
      </c>
      <c r="O17" s="171">
        <f t="shared" si="3"/>
        <v>9786857.9604384992</v>
      </c>
      <c r="P17" s="170">
        <f t="shared" si="16"/>
        <v>6612.7418651611479</v>
      </c>
      <c r="Q17" s="172">
        <f t="shared" si="17"/>
        <v>6612.7418651611479</v>
      </c>
      <c r="R17" s="173">
        <f>+pronostico!L16*8%</f>
        <v>5290.1934921289176</v>
      </c>
      <c r="S17" s="174">
        <f t="shared" si="4"/>
        <v>7829486.3683507983</v>
      </c>
      <c r="T17" s="175">
        <f t="shared" si="5"/>
        <v>3914743.1841753991</v>
      </c>
      <c r="U17" s="173">
        <f>+pronostico!L16*8%</f>
        <v>5290.1934921289176</v>
      </c>
      <c r="V17" s="176">
        <f t="shared" si="6"/>
        <v>7829486.3683507983</v>
      </c>
      <c r="W17" s="177">
        <f t="shared" si="7"/>
        <v>3914743.1841753991</v>
      </c>
      <c r="X17" s="173">
        <f>+pronostico!L16*2%</f>
        <v>1322.5483730322294</v>
      </c>
      <c r="Y17" s="178">
        <f t="shared" si="8"/>
        <v>1957371.5920876996</v>
      </c>
      <c r="Z17" s="178">
        <f t="shared" si="9"/>
        <v>978685.79604384978</v>
      </c>
      <c r="AA17" s="173">
        <f>+pronostico!L16*2%</f>
        <v>1322.5483730322294</v>
      </c>
      <c r="AB17" s="179">
        <f t="shared" si="10"/>
        <v>1957371.5920876996</v>
      </c>
      <c r="AC17" s="180">
        <f t="shared" si="11"/>
        <v>978685.79604384978</v>
      </c>
      <c r="AD17" s="173">
        <f>+pronostico!L16*10%</f>
        <v>6612.7418651611479</v>
      </c>
      <c r="AE17" s="176">
        <f t="shared" si="18"/>
        <v>9786857.9604384992</v>
      </c>
      <c r="AF17" s="177">
        <f t="shared" si="18"/>
        <v>4893428.9802192496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+pronostico!L17*50%</f>
        <v>99995.154907062009</v>
      </c>
      <c r="G18" s="137">
        <f t="shared" si="13"/>
        <v>235988565.58066633</v>
      </c>
      <c r="H18" s="138">
        <f t="shared" si="13"/>
        <v>117994282.79033317</v>
      </c>
      <c r="I18" s="137">
        <f t="shared" si="14"/>
        <v>49997.577453531005</v>
      </c>
      <c r="J18" s="139">
        <f t="shared" si="15"/>
        <v>29998.5464721186</v>
      </c>
      <c r="K18" s="167">
        <f t="shared" si="0"/>
        <v>9999.5154907062024</v>
      </c>
      <c r="L18" s="168">
        <f t="shared" si="1"/>
        <v>9999.5154907062024</v>
      </c>
      <c r="M18" s="169">
        <f>+pronostico!L17*20%</f>
        <v>39998.06196282481</v>
      </c>
      <c r="N18" s="170">
        <f t="shared" si="2"/>
        <v>94395426.232266545</v>
      </c>
      <c r="O18" s="171">
        <f t="shared" si="3"/>
        <v>47197713.116133273</v>
      </c>
      <c r="P18" s="170">
        <f t="shared" si="16"/>
        <v>19999.030981412405</v>
      </c>
      <c r="Q18" s="172">
        <f t="shared" si="17"/>
        <v>19999.030981412405</v>
      </c>
      <c r="R18" s="173">
        <f>+pronostico!L17*8%</f>
        <v>15999.224785129922</v>
      </c>
      <c r="S18" s="174">
        <f t="shared" si="4"/>
        <v>37758170.492906615</v>
      </c>
      <c r="T18" s="175">
        <f t="shared" si="5"/>
        <v>18879085.246453308</v>
      </c>
      <c r="U18" s="173">
        <f>+pronostico!L17*8%</f>
        <v>15999.224785129922</v>
      </c>
      <c r="V18" s="176">
        <f t="shared" si="6"/>
        <v>37758170.492906615</v>
      </c>
      <c r="W18" s="177">
        <f t="shared" si="7"/>
        <v>18879085.246453308</v>
      </c>
      <c r="X18" s="173">
        <f>+pronostico!L17*2%</f>
        <v>3999.8061962824804</v>
      </c>
      <c r="Y18" s="178">
        <f t="shared" si="8"/>
        <v>9439542.6232266538</v>
      </c>
      <c r="Z18" s="178">
        <f t="shared" si="9"/>
        <v>4719771.3116133269</v>
      </c>
      <c r="AA18" s="173">
        <f>+pronostico!L17*2%</f>
        <v>3999.8061962824804</v>
      </c>
      <c r="AB18" s="179">
        <f t="shared" si="10"/>
        <v>9439542.6232266538</v>
      </c>
      <c r="AC18" s="180">
        <f t="shared" si="11"/>
        <v>4719771.3116133269</v>
      </c>
      <c r="AD18" s="173">
        <f>+pronostico!L17*10%</f>
        <v>19999.030981412405</v>
      </c>
      <c r="AE18" s="176">
        <f t="shared" si="18"/>
        <v>47197713.116133273</v>
      </c>
      <c r="AF18" s="177">
        <f t="shared" si="18"/>
        <v>23598856.558066636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+pronostico!L18*50%</f>
        <v>23346.771440562003</v>
      </c>
      <c r="G19" s="137">
        <f t="shared" si="13"/>
        <v>116733857.20281002</v>
      </c>
      <c r="H19" s="138">
        <f t="shared" si="13"/>
        <v>46693542.881124012</v>
      </c>
      <c r="I19" s="137">
        <f>+F19*60%</f>
        <v>14008.062864337202</v>
      </c>
      <c r="J19" s="139">
        <f t="shared" si="15"/>
        <v>7004.031432168601</v>
      </c>
      <c r="K19" s="167">
        <f t="shared" si="0"/>
        <v>2334.6771440562002</v>
      </c>
      <c r="L19" s="168" t="s">
        <v>21</v>
      </c>
      <c r="M19" s="169">
        <f>+pronostico!L18*20%</f>
        <v>9338.7085762248007</v>
      </c>
      <c r="N19" s="170">
        <f t="shared" si="2"/>
        <v>46693542.881124005</v>
      </c>
      <c r="O19" s="171">
        <f t="shared" si="3"/>
        <v>18677417.152449604</v>
      </c>
      <c r="P19" s="170">
        <f t="shared" si="16"/>
        <v>4669.3542881124004</v>
      </c>
      <c r="Q19" s="172">
        <f t="shared" si="17"/>
        <v>4669.3542881124004</v>
      </c>
      <c r="R19" s="173">
        <f>+pronostico!L18*8%</f>
        <v>3735.4834304899205</v>
      </c>
      <c r="S19" s="174">
        <f t="shared" si="4"/>
        <v>18677417.152449604</v>
      </c>
      <c r="T19" s="175">
        <f t="shared" si="5"/>
        <v>7470966.860979842</v>
      </c>
      <c r="U19" s="173">
        <f>+pronostico!L18*8%</f>
        <v>3735.4834304899205</v>
      </c>
      <c r="V19" s="176">
        <f t="shared" si="6"/>
        <v>18677417.152449604</v>
      </c>
      <c r="W19" s="177">
        <f t="shared" si="7"/>
        <v>7470966.860979842</v>
      </c>
      <c r="X19" s="173">
        <f>+pronostico!L18*2%</f>
        <v>933.87085762248012</v>
      </c>
      <c r="Y19" s="178">
        <f t="shared" si="8"/>
        <v>4669354.288112401</v>
      </c>
      <c r="Z19" s="178">
        <f t="shared" si="9"/>
        <v>1867741.7152449605</v>
      </c>
      <c r="AA19" s="173">
        <f>+pronostico!L18*2%</f>
        <v>933.87085762248012</v>
      </c>
      <c r="AB19" s="179">
        <f t="shared" si="10"/>
        <v>4669354.288112401</v>
      </c>
      <c r="AC19" s="180">
        <f t="shared" si="11"/>
        <v>1867741.7152449605</v>
      </c>
      <c r="AD19" s="173">
        <f>+pronostico!L18*10%</f>
        <v>4669.3542881124004</v>
      </c>
      <c r="AE19" s="176">
        <f t="shared" si="18"/>
        <v>23346771.440562002</v>
      </c>
      <c r="AF19" s="177">
        <f t="shared" si="18"/>
        <v>9338708.5762248021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+pronostico!L19*50%</f>
        <v>16830.028029240002</v>
      </c>
      <c r="G20" s="137">
        <f t="shared" si="13"/>
        <v>60419800.624971606</v>
      </c>
      <c r="H20" s="138">
        <f t="shared" si="13"/>
        <v>24167920.249988645</v>
      </c>
      <c r="I20" s="137">
        <f t="shared" si="14"/>
        <v>8415.014014620001</v>
      </c>
      <c r="J20" s="139">
        <f t="shared" si="15"/>
        <v>5049.0084087720006</v>
      </c>
      <c r="K20" s="167">
        <f t="shared" si="0"/>
        <v>1683.0028029240002</v>
      </c>
      <c r="L20" s="168">
        <f>+F20*10%</f>
        <v>1683.0028029240002</v>
      </c>
      <c r="M20" s="169">
        <f>+pronostico!L19*20%</f>
        <v>6732.0112116960008</v>
      </c>
      <c r="N20" s="170">
        <f t="shared" si="2"/>
        <v>24167920.249988642</v>
      </c>
      <c r="O20" s="171">
        <f t="shared" si="3"/>
        <v>9667168.0999954566</v>
      </c>
      <c r="P20" s="170">
        <f t="shared" si="16"/>
        <v>3366.0056058480004</v>
      </c>
      <c r="Q20" s="172">
        <f t="shared" si="17"/>
        <v>3366.0056058480004</v>
      </c>
      <c r="R20" s="173">
        <f>+pronostico!L19*8%</f>
        <v>2692.8044846784005</v>
      </c>
      <c r="S20" s="174">
        <f t="shared" si="4"/>
        <v>9667168.0999954585</v>
      </c>
      <c r="T20" s="175">
        <f t="shared" si="5"/>
        <v>3866867.2399981837</v>
      </c>
      <c r="U20" s="173">
        <f>+pronostico!L19*8%</f>
        <v>2692.8044846784005</v>
      </c>
      <c r="V20" s="176">
        <f t="shared" si="6"/>
        <v>9667168.0999954585</v>
      </c>
      <c r="W20" s="177">
        <f t="shared" si="7"/>
        <v>3866867.2399981837</v>
      </c>
      <c r="X20" s="173">
        <f>+pronostico!L19*2%</f>
        <v>673.20112116960013</v>
      </c>
      <c r="Y20" s="178">
        <f t="shared" si="8"/>
        <v>2416792.0249988646</v>
      </c>
      <c r="Z20" s="178">
        <f t="shared" si="9"/>
        <v>966716.80999954592</v>
      </c>
      <c r="AA20" s="173">
        <f>+pronostico!L19*2%</f>
        <v>673.20112116960013</v>
      </c>
      <c r="AB20" s="179">
        <f t="shared" si="10"/>
        <v>2416792.0249988646</v>
      </c>
      <c r="AC20" s="180">
        <f t="shared" si="11"/>
        <v>966716.80999954592</v>
      </c>
      <c r="AD20" s="173">
        <f>+pronostico!L19*10%</f>
        <v>3366.0056058480004</v>
      </c>
      <c r="AE20" s="176">
        <f t="shared" si="18"/>
        <v>12083960.124994321</v>
      </c>
      <c r="AF20" s="177">
        <f t="shared" si="18"/>
        <v>4833584.0499977283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+pronostico!L20*50%</f>
        <v>16047.236027880002</v>
      </c>
      <c r="G21" s="137">
        <f t="shared" si="13"/>
        <v>197862420.22376043</v>
      </c>
      <c r="H21" s="138">
        <f t="shared" si="13"/>
        <v>79144968.089504167</v>
      </c>
      <c r="I21" s="137">
        <f>+F21*60%</f>
        <v>9628.3416167280011</v>
      </c>
      <c r="J21" s="139">
        <f t="shared" si="15"/>
        <v>4814.1708083640005</v>
      </c>
      <c r="K21" s="167">
        <f t="shared" si="0"/>
        <v>1604.7236027880003</v>
      </c>
      <c r="L21" s="168" t="s">
        <v>21</v>
      </c>
      <c r="M21" s="169">
        <f>+pronostico!L20*20%</f>
        <v>6418.8944111520013</v>
      </c>
      <c r="N21" s="170">
        <f t="shared" si="2"/>
        <v>79144968.089504182</v>
      </c>
      <c r="O21" s="171">
        <f t="shared" si="3"/>
        <v>31657987.235801674</v>
      </c>
      <c r="P21" s="170">
        <f t="shared" si="16"/>
        <v>3209.4472055760007</v>
      </c>
      <c r="Q21" s="172">
        <f t="shared" si="17"/>
        <v>3209.4472055760007</v>
      </c>
      <c r="R21" s="173">
        <f>+pronostico!L20*8%</f>
        <v>2567.5577644608006</v>
      </c>
      <c r="S21" s="174">
        <f t="shared" si="4"/>
        <v>31657987.235801671</v>
      </c>
      <c r="T21" s="175">
        <f t="shared" si="5"/>
        <v>12663194.894320669</v>
      </c>
      <c r="U21" s="173">
        <f>+pronostico!L20*8%</f>
        <v>2567.5577644608006</v>
      </c>
      <c r="V21" s="176">
        <f t="shared" si="6"/>
        <v>31657987.235801671</v>
      </c>
      <c r="W21" s="177">
        <f t="shared" si="7"/>
        <v>12663194.894320669</v>
      </c>
      <c r="X21" s="173">
        <f>+pronostico!L20*2%</f>
        <v>641.88944111520016</v>
      </c>
      <c r="Y21" s="178">
        <f t="shared" si="8"/>
        <v>7914496.8089504177</v>
      </c>
      <c r="Z21" s="178">
        <f t="shared" si="9"/>
        <v>3165798.7235801672</v>
      </c>
      <c r="AA21" s="173">
        <f>+pronostico!L20*2%</f>
        <v>641.88944111520016</v>
      </c>
      <c r="AB21" s="179">
        <f t="shared" si="10"/>
        <v>7914496.8089504177</v>
      </c>
      <c r="AC21" s="180">
        <f t="shared" si="11"/>
        <v>3165798.7235801672</v>
      </c>
      <c r="AD21" s="173">
        <f>+pronostico!L20*10%</f>
        <v>3209.4472055760007</v>
      </c>
      <c r="AE21" s="176">
        <f t="shared" ref="AE21:AF36" si="20">+AD21*D21</f>
        <v>39572484.044752091</v>
      </c>
      <c r="AF21" s="177">
        <f t="shared" si="20"/>
        <v>15828993.617900837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+pronostico!L21*50%</f>
        <v>14070.686224446003</v>
      </c>
      <c r="G22" s="137">
        <f t="shared" si="13"/>
        <v>105248732.95885611</v>
      </c>
      <c r="H22" s="138">
        <f t="shared" si="13"/>
        <v>42099493.183542445</v>
      </c>
      <c r="I22" s="137">
        <f t="shared" ref="I22:I51" si="21">+F22*60%</f>
        <v>8442.4117346676012</v>
      </c>
      <c r="J22" s="139">
        <f t="shared" si="15"/>
        <v>4221.2058673338006</v>
      </c>
      <c r="K22" s="167">
        <f t="shared" si="0"/>
        <v>1407.0686224446004</v>
      </c>
      <c r="L22" s="168" t="s">
        <v>21</v>
      </c>
      <c r="M22" s="169">
        <f>+pronostico!L21*20%</f>
        <v>5628.2744897784014</v>
      </c>
      <c r="N22" s="170">
        <f t="shared" si="2"/>
        <v>42099493.183542445</v>
      </c>
      <c r="O22" s="171">
        <f t="shared" si="3"/>
        <v>16839797.273416977</v>
      </c>
      <c r="P22" s="170">
        <f t="shared" si="16"/>
        <v>2814.1372448892007</v>
      </c>
      <c r="Q22" s="172">
        <f t="shared" si="17"/>
        <v>2814.1372448892007</v>
      </c>
      <c r="R22" s="173">
        <f>+pronostico!L21*8%</f>
        <v>2251.3097959113607</v>
      </c>
      <c r="S22" s="174">
        <f t="shared" si="4"/>
        <v>16839797.273416977</v>
      </c>
      <c r="T22" s="175">
        <f t="shared" si="5"/>
        <v>6735918.9093667911</v>
      </c>
      <c r="U22" s="173">
        <f>+pronostico!L21*8%</f>
        <v>2251.3097959113607</v>
      </c>
      <c r="V22" s="176">
        <f t="shared" si="6"/>
        <v>16839797.273416977</v>
      </c>
      <c r="W22" s="177">
        <f t="shared" si="7"/>
        <v>6735918.9093667911</v>
      </c>
      <c r="X22" s="173">
        <f>+pronostico!L21*2%</f>
        <v>562.82744897784016</v>
      </c>
      <c r="Y22" s="178">
        <f t="shared" si="8"/>
        <v>4209949.3183542443</v>
      </c>
      <c r="Z22" s="178">
        <f t="shared" si="9"/>
        <v>1683979.7273416978</v>
      </c>
      <c r="AA22" s="173">
        <f>+pronostico!L21*2%</f>
        <v>562.82744897784016</v>
      </c>
      <c r="AB22" s="179">
        <f t="shared" si="10"/>
        <v>4209949.3183542443</v>
      </c>
      <c r="AC22" s="180">
        <f t="shared" si="11"/>
        <v>1683979.7273416978</v>
      </c>
      <c r="AD22" s="173">
        <f>+pronostico!L21*10%</f>
        <v>2814.1372448892007</v>
      </c>
      <c r="AE22" s="176">
        <f t="shared" si="20"/>
        <v>21049746.591771223</v>
      </c>
      <c r="AF22" s="177">
        <f t="shared" si="20"/>
        <v>8419898.6367084887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+pronostico!L22*50%</f>
        <v>9523.9693498800007</v>
      </c>
      <c r="G23" s="137">
        <f t="shared" si="13"/>
        <v>39048274.334508002</v>
      </c>
      <c r="H23" s="138">
        <f t="shared" si="13"/>
        <v>15619309.733803201</v>
      </c>
      <c r="I23" s="137">
        <f t="shared" si="21"/>
        <v>5714.3816099280002</v>
      </c>
      <c r="J23" s="139">
        <f t="shared" si="15"/>
        <v>2857.1908049640001</v>
      </c>
      <c r="K23" s="167">
        <f t="shared" si="0"/>
        <v>952.39693498800011</v>
      </c>
      <c r="L23" s="168" t="s">
        <v>21</v>
      </c>
      <c r="M23" s="169">
        <f>+pronostico!L22*20%</f>
        <v>3809.5877399520004</v>
      </c>
      <c r="N23" s="170">
        <f t="shared" si="2"/>
        <v>15619309.733803201</v>
      </c>
      <c r="O23" s="171">
        <f t="shared" si="3"/>
        <v>6247723.893521281</v>
      </c>
      <c r="P23" s="170">
        <f t="shared" si="16"/>
        <v>1904.7938699760002</v>
      </c>
      <c r="Q23" s="172">
        <f t="shared" si="17"/>
        <v>1904.7938699760002</v>
      </c>
      <c r="R23" s="173">
        <f>+pronostico!L22*8%</f>
        <v>1523.8350959808001</v>
      </c>
      <c r="S23" s="174">
        <f t="shared" si="4"/>
        <v>6247723.893521281</v>
      </c>
      <c r="T23" s="175">
        <f t="shared" si="5"/>
        <v>2499089.5574085126</v>
      </c>
      <c r="U23" s="173">
        <f>+pronostico!L22*8%</f>
        <v>1523.8350959808001</v>
      </c>
      <c r="V23" s="176">
        <f t="shared" si="6"/>
        <v>6247723.893521281</v>
      </c>
      <c r="W23" s="177">
        <f t="shared" si="7"/>
        <v>2499089.5574085126</v>
      </c>
      <c r="X23" s="173">
        <f>+pronostico!L22*2%</f>
        <v>380.95877399520003</v>
      </c>
      <c r="Y23" s="178">
        <f t="shared" si="8"/>
        <v>1561930.9733803202</v>
      </c>
      <c r="Z23" s="178">
        <f t="shared" si="9"/>
        <v>624772.38935212814</v>
      </c>
      <c r="AA23" s="173">
        <f>+pronostico!L22*2%</f>
        <v>380.95877399520003</v>
      </c>
      <c r="AB23" s="179">
        <f t="shared" si="10"/>
        <v>1561930.9733803202</v>
      </c>
      <c r="AC23" s="180">
        <f t="shared" si="11"/>
        <v>624772.38935212814</v>
      </c>
      <c r="AD23" s="173">
        <f>+pronostico!L22*10%</f>
        <v>1904.7938699760002</v>
      </c>
      <c r="AE23" s="176">
        <f t="shared" si="20"/>
        <v>7809654.8669016007</v>
      </c>
      <c r="AF23" s="177">
        <f t="shared" si="20"/>
        <v>3123861.9467606405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+pronostico!L23*50%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+pronostico!L23*20%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+pronostico!L23*8%</f>
        <v>2000</v>
      </c>
      <c r="S24" s="174">
        <f t="shared" si="4"/>
        <v>6600000</v>
      </c>
      <c r="T24" s="175">
        <f t="shared" si="5"/>
        <v>3300000</v>
      </c>
      <c r="U24" s="173">
        <f>+pronostico!L23*8%</f>
        <v>2000</v>
      </c>
      <c r="V24" s="176">
        <f t="shared" si="6"/>
        <v>6600000</v>
      </c>
      <c r="W24" s="177">
        <f t="shared" si="7"/>
        <v>3300000</v>
      </c>
      <c r="X24" s="173">
        <f>+pronostico!L23*2%</f>
        <v>500</v>
      </c>
      <c r="Y24" s="178">
        <f t="shared" si="8"/>
        <v>1650000</v>
      </c>
      <c r="Z24" s="178">
        <f t="shared" si="9"/>
        <v>825000</v>
      </c>
      <c r="AA24" s="173">
        <f>+pronostico!L23*2%</f>
        <v>500</v>
      </c>
      <c r="AB24" s="179">
        <f t="shared" si="10"/>
        <v>1650000</v>
      </c>
      <c r="AC24" s="180">
        <f t="shared" si="11"/>
        <v>825000</v>
      </c>
      <c r="AD24" s="173">
        <f>+pronostico!L23*10%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+pronostico!L24*50%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+pronostico!L24*20%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+pronostico!L24*8%</f>
        <v>2400</v>
      </c>
      <c r="S25" s="174">
        <f t="shared" si="4"/>
        <v>7200000</v>
      </c>
      <c r="T25" s="175">
        <f t="shared" si="5"/>
        <v>3600000</v>
      </c>
      <c r="U25" s="173">
        <f>+pronostico!L24*8%</f>
        <v>2400</v>
      </c>
      <c r="V25" s="176">
        <f t="shared" si="6"/>
        <v>7200000</v>
      </c>
      <c r="W25" s="177">
        <f t="shared" si="7"/>
        <v>3600000</v>
      </c>
      <c r="X25" s="173">
        <f>+pronostico!L24*2%</f>
        <v>600</v>
      </c>
      <c r="Y25" s="178">
        <f t="shared" si="8"/>
        <v>1800000</v>
      </c>
      <c r="Z25" s="178">
        <f t="shared" si="9"/>
        <v>900000</v>
      </c>
      <c r="AA25" s="173">
        <f>+pronostico!L24*2%</f>
        <v>600</v>
      </c>
      <c r="AB25" s="179">
        <f t="shared" si="10"/>
        <v>1800000</v>
      </c>
      <c r="AC25" s="180">
        <f t="shared" si="11"/>
        <v>900000</v>
      </c>
      <c r="AD25" s="173">
        <f>+pronostico!L24*10%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+pronostico!L25*50%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+pronostico!L25*20%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+pronostico!L25*8%</f>
        <v>3200</v>
      </c>
      <c r="S26" s="174">
        <f t="shared" si="4"/>
        <v>12160000</v>
      </c>
      <c r="T26" s="175">
        <f t="shared" si="5"/>
        <v>4864000</v>
      </c>
      <c r="U26" s="173">
        <f>+pronostico!L25*8%</f>
        <v>3200</v>
      </c>
      <c r="V26" s="176">
        <f t="shared" si="6"/>
        <v>12160000</v>
      </c>
      <c r="W26" s="177">
        <f t="shared" si="7"/>
        <v>4864000</v>
      </c>
      <c r="X26" s="173">
        <f>+pronostico!L25*2%</f>
        <v>800</v>
      </c>
      <c r="Y26" s="178">
        <f t="shared" si="8"/>
        <v>3040000</v>
      </c>
      <c r="Z26" s="178">
        <f t="shared" si="9"/>
        <v>1216000</v>
      </c>
      <c r="AA26" s="173">
        <f>+pronostico!L25*2%</f>
        <v>800</v>
      </c>
      <c r="AB26" s="179">
        <f t="shared" si="10"/>
        <v>3040000</v>
      </c>
      <c r="AC26" s="180">
        <f t="shared" si="11"/>
        <v>1216000</v>
      </c>
      <c r="AD26" s="173">
        <f>+pronostico!L25*10%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+pronostico!L26*50%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+pronostico!L26*20%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+pronostico!L26*8%</f>
        <v>4800</v>
      </c>
      <c r="S27" s="174">
        <f t="shared" si="4"/>
        <v>11040000</v>
      </c>
      <c r="T27" s="175">
        <f t="shared" si="5"/>
        <v>5520000</v>
      </c>
      <c r="U27" s="173">
        <f>+pronostico!L26*8%</f>
        <v>4800</v>
      </c>
      <c r="V27" s="176">
        <f t="shared" si="6"/>
        <v>11040000</v>
      </c>
      <c r="W27" s="177">
        <f t="shared" si="7"/>
        <v>5520000</v>
      </c>
      <c r="X27" s="173">
        <f>+pronostico!L26*2%</f>
        <v>1200</v>
      </c>
      <c r="Y27" s="178">
        <f t="shared" si="8"/>
        <v>2760000</v>
      </c>
      <c r="Z27" s="178">
        <f t="shared" si="9"/>
        <v>1380000</v>
      </c>
      <c r="AA27" s="173">
        <f>+pronostico!L26*2%</f>
        <v>1200</v>
      </c>
      <c r="AB27" s="179">
        <f t="shared" si="10"/>
        <v>2760000</v>
      </c>
      <c r="AC27" s="180">
        <f t="shared" si="11"/>
        <v>1380000</v>
      </c>
      <c r="AD27" s="173">
        <f>+pronostico!L26*10%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+pronostico!L27*50%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+pronostico!L27*20%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+pronostico!L27*8%</f>
        <v>2400</v>
      </c>
      <c r="S28" s="174">
        <f t="shared" si="4"/>
        <v>9360000</v>
      </c>
      <c r="T28" s="175">
        <f t="shared" si="5"/>
        <v>3744000</v>
      </c>
      <c r="U28" s="173">
        <f>+pronostico!L27*8%</f>
        <v>2400</v>
      </c>
      <c r="V28" s="176">
        <f t="shared" si="6"/>
        <v>9360000</v>
      </c>
      <c r="W28" s="177">
        <f t="shared" si="7"/>
        <v>3744000</v>
      </c>
      <c r="X28" s="173">
        <f>+pronostico!L27*2%</f>
        <v>600</v>
      </c>
      <c r="Y28" s="178">
        <f t="shared" si="8"/>
        <v>2340000</v>
      </c>
      <c r="Z28" s="178">
        <f t="shared" si="9"/>
        <v>936000</v>
      </c>
      <c r="AA28" s="173">
        <f>+pronostico!L27*2%</f>
        <v>600</v>
      </c>
      <c r="AB28" s="179">
        <f t="shared" si="10"/>
        <v>2340000</v>
      </c>
      <c r="AC28" s="180">
        <f t="shared" si="11"/>
        <v>936000</v>
      </c>
      <c r="AD28" s="173">
        <f>+pronostico!L27*10%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+pronostico!L28*50%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+pronostico!L28*20%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+pronostico!L28*8%</f>
        <v>5200</v>
      </c>
      <c r="S29" s="174">
        <f t="shared" si="4"/>
        <v>15600000</v>
      </c>
      <c r="T29" s="175">
        <f t="shared" si="5"/>
        <v>7800000</v>
      </c>
      <c r="U29" s="173">
        <f>+pronostico!L28*8%</f>
        <v>5200</v>
      </c>
      <c r="V29" s="176">
        <f t="shared" si="6"/>
        <v>15600000</v>
      </c>
      <c r="W29" s="177">
        <f t="shared" si="7"/>
        <v>7800000</v>
      </c>
      <c r="X29" s="173">
        <f>+pronostico!L28*2%</f>
        <v>1300</v>
      </c>
      <c r="Y29" s="178">
        <f t="shared" si="8"/>
        <v>3900000</v>
      </c>
      <c r="Z29" s="178">
        <f t="shared" si="9"/>
        <v>1950000</v>
      </c>
      <c r="AA29" s="173">
        <f>+pronostico!L28*2%</f>
        <v>1300</v>
      </c>
      <c r="AB29" s="179">
        <f t="shared" si="10"/>
        <v>3900000</v>
      </c>
      <c r="AC29" s="180">
        <f t="shared" si="11"/>
        <v>1950000</v>
      </c>
      <c r="AD29" s="173">
        <f>+pronostico!L28*10%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+pronostico!L29*50%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+pronostico!L29*20%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+pronostico!L29*8%</f>
        <v>2000</v>
      </c>
      <c r="S30" s="174">
        <f t="shared" si="4"/>
        <v>8200000</v>
      </c>
      <c r="T30" s="175">
        <f t="shared" si="5"/>
        <v>3280000</v>
      </c>
      <c r="U30" s="173">
        <f>+pronostico!L29*8%</f>
        <v>2000</v>
      </c>
      <c r="V30" s="176">
        <f t="shared" si="6"/>
        <v>8200000</v>
      </c>
      <c r="W30" s="177">
        <f t="shared" si="7"/>
        <v>3280000</v>
      </c>
      <c r="X30" s="173">
        <f>+pronostico!L29*2%</f>
        <v>500</v>
      </c>
      <c r="Y30" s="178">
        <f t="shared" si="8"/>
        <v>2050000</v>
      </c>
      <c r="Z30" s="178">
        <f t="shared" si="9"/>
        <v>820000</v>
      </c>
      <c r="AA30" s="173">
        <f>+pronostico!L29*2%</f>
        <v>500</v>
      </c>
      <c r="AB30" s="179">
        <f t="shared" si="10"/>
        <v>2050000</v>
      </c>
      <c r="AC30" s="180">
        <f t="shared" si="11"/>
        <v>820000</v>
      </c>
      <c r="AD30" s="173">
        <f>+pronostico!L29*10%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+pronostico!L30*50%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+pronostico!L30*20%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+pronostico!L30*8%</f>
        <v>2000</v>
      </c>
      <c r="S31" s="174">
        <f t="shared" si="4"/>
        <v>4700000</v>
      </c>
      <c r="T31" s="175">
        <f t="shared" si="5"/>
        <v>2350000</v>
      </c>
      <c r="U31" s="173">
        <f>+pronostico!L30*8%</f>
        <v>2000</v>
      </c>
      <c r="V31" s="176">
        <f t="shared" si="6"/>
        <v>4700000</v>
      </c>
      <c r="W31" s="177">
        <f t="shared" si="7"/>
        <v>2350000</v>
      </c>
      <c r="X31" s="173">
        <f>+pronostico!L30*2%</f>
        <v>500</v>
      </c>
      <c r="Y31" s="178">
        <f t="shared" si="8"/>
        <v>1175000</v>
      </c>
      <c r="Z31" s="178">
        <f t="shared" si="9"/>
        <v>587500</v>
      </c>
      <c r="AA31" s="173">
        <f>+pronostico!L30*2%</f>
        <v>500</v>
      </c>
      <c r="AB31" s="179">
        <f t="shared" si="10"/>
        <v>1175000</v>
      </c>
      <c r="AC31" s="180">
        <f t="shared" si="11"/>
        <v>587500</v>
      </c>
      <c r="AD31" s="173">
        <f>+pronostico!L30*10%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+pronostico!L31*50%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+pronostico!L31*20%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+pronostico!L31*8%</f>
        <v>1600</v>
      </c>
      <c r="S32" s="174">
        <f t="shared" si="4"/>
        <v>4800000</v>
      </c>
      <c r="T32" s="175">
        <f t="shared" si="5"/>
        <v>2400000</v>
      </c>
      <c r="U32" s="173">
        <f>+pronostico!L31*8%</f>
        <v>1600</v>
      </c>
      <c r="V32" s="176">
        <f t="shared" si="6"/>
        <v>4800000</v>
      </c>
      <c r="W32" s="177">
        <f t="shared" si="7"/>
        <v>2400000</v>
      </c>
      <c r="X32" s="173">
        <f>+pronostico!L31*2%</f>
        <v>400</v>
      </c>
      <c r="Y32" s="178">
        <f t="shared" si="8"/>
        <v>1200000</v>
      </c>
      <c r="Z32" s="178">
        <f t="shared" si="9"/>
        <v>600000</v>
      </c>
      <c r="AA32" s="173">
        <f>+pronostico!L31*2%</f>
        <v>400</v>
      </c>
      <c r="AB32" s="179">
        <f t="shared" si="10"/>
        <v>1200000</v>
      </c>
      <c r="AC32" s="180">
        <f t="shared" si="11"/>
        <v>600000</v>
      </c>
      <c r="AD32" s="173">
        <f>+pronostico!L31*10%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+pronostico!L32*50%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+pronostico!L32*20%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+pronostico!L32*8%</f>
        <v>1200</v>
      </c>
      <c r="S33" s="174">
        <f t="shared" si="4"/>
        <v>2760000</v>
      </c>
      <c r="T33" s="175">
        <f t="shared" si="5"/>
        <v>1380000</v>
      </c>
      <c r="U33" s="173">
        <f>+pronostico!L32*8%</f>
        <v>1200</v>
      </c>
      <c r="V33" s="176">
        <f t="shared" si="6"/>
        <v>2760000</v>
      </c>
      <c r="W33" s="177">
        <f t="shared" si="7"/>
        <v>1380000</v>
      </c>
      <c r="X33" s="173">
        <f>+pronostico!L32*2%</f>
        <v>300</v>
      </c>
      <c r="Y33" s="178">
        <f t="shared" si="8"/>
        <v>690000</v>
      </c>
      <c r="Z33" s="178">
        <f t="shared" si="9"/>
        <v>345000</v>
      </c>
      <c r="AA33" s="173">
        <f>+pronostico!L32*2%</f>
        <v>300</v>
      </c>
      <c r="AB33" s="179">
        <f t="shared" si="10"/>
        <v>690000</v>
      </c>
      <c r="AC33" s="180">
        <f t="shared" si="11"/>
        <v>345000</v>
      </c>
      <c r="AD33" s="173">
        <f>+pronostico!L32*10%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+pronostico!L33*50%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+pronostico!L33*20%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+pronostico!L33*8%</f>
        <v>1600</v>
      </c>
      <c r="S34" s="174">
        <f t="shared" si="4"/>
        <v>6080000</v>
      </c>
      <c r="T34" s="175">
        <f t="shared" si="5"/>
        <v>2432000</v>
      </c>
      <c r="U34" s="173">
        <f>+pronostico!L33*8%</f>
        <v>1600</v>
      </c>
      <c r="V34" s="176">
        <f t="shared" si="6"/>
        <v>6080000</v>
      </c>
      <c r="W34" s="177">
        <f t="shared" si="7"/>
        <v>2432000</v>
      </c>
      <c r="X34" s="173">
        <f>+pronostico!L33*2%</f>
        <v>400</v>
      </c>
      <c r="Y34" s="178">
        <f t="shared" si="8"/>
        <v>1520000</v>
      </c>
      <c r="Z34" s="178">
        <f t="shared" si="9"/>
        <v>608000</v>
      </c>
      <c r="AA34" s="173">
        <f>+pronostico!L33*2%</f>
        <v>400</v>
      </c>
      <c r="AB34" s="179">
        <f t="shared" si="10"/>
        <v>1520000</v>
      </c>
      <c r="AC34" s="180">
        <f t="shared" si="11"/>
        <v>608000</v>
      </c>
      <c r="AD34" s="173">
        <f>+pronostico!L33*10%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+pronostico!L34*50%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+pronostico!L34*20%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+pronostico!L34*8%</f>
        <v>1600</v>
      </c>
      <c r="S35" s="174">
        <f t="shared" si="4"/>
        <v>6400000</v>
      </c>
      <c r="T35" s="175">
        <f t="shared" si="5"/>
        <v>2560000</v>
      </c>
      <c r="U35" s="173">
        <f>+pronostico!L34*8%</f>
        <v>1600</v>
      </c>
      <c r="V35" s="176">
        <f t="shared" si="6"/>
        <v>6400000</v>
      </c>
      <c r="W35" s="177">
        <f t="shared" si="7"/>
        <v>2560000</v>
      </c>
      <c r="X35" s="173">
        <f>+pronostico!L34*2%</f>
        <v>400</v>
      </c>
      <c r="Y35" s="178">
        <f t="shared" si="8"/>
        <v>1600000</v>
      </c>
      <c r="Z35" s="178">
        <f t="shared" si="9"/>
        <v>640000</v>
      </c>
      <c r="AA35" s="173">
        <f>+pronostico!L34*2%</f>
        <v>400</v>
      </c>
      <c r="AB35" s="179">
        <f t="shared" si="10"/>
        <v>1600000</v>
      </c>
      <c r="AC35" s="180">
        <f t="shared" si="11"/>
        <v>640000</v>
      </c>
      <c r="AD35" s="173">
        <f>+pronostico!L34*10%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+pronostico!L35*50%</f>
        <v>165560.5</v>
      </c>
      <c r="G36" s="137">
        <f t="shared" si="13"/>
        <v>316220555</v>
      </c>
      <c r="H36" s="138">
        <f t="shared" si="13"/>
        <v>158110277.5</v>
      </c>
      <c r="I36" s="137">
        <f t="shared" si="21"/>
        <v>99336.3</v>
      </c>
      <c r="J36" s="139">
        <f t="shared" si="15"/>
        <v>49668.15</v>
      </c>
      <c r="K36" s="167">
        <f t="shared" si="0"/>
        <v>16556.05</v>
      </c>
      <c r="L36" s="168" t="s">
        <v>21</v>
      </c>
      <c r="M36" s="169">
        <f>+pronostico!L35*20%</f>
        <v>66224.2</v>
      </c>
      <c r="N36" s="170">
        <f t="shared" si="2"/>
        <v>126488222</v>
      </c>
      <c r="O36" s="171">
        <f t="shared" si="3"/>
        <v>63244111</v>
      </c>
      <c r="P36" s="170">
        <f t="shared" si="16"/>
        <v>33112.1</v>
      </c>
      <c r="Q36" s="172">
        <f t="shared" si="17"/>
        <v>33112.1</v>
      </c>
      <c r="R36" s="173">
        <f>+pronostico!L35*8%</f>
        <v>26489.68</v>
      </c>
      <c r="S36" s="174">
        <f t="shared" si="4"/>
        <v>50595288.799999997</v>
      </c>
      <c r="T36" s="175">
        <f t="shared" si="5"/>
        <v>25297644.399999999</v>
      </c>
      <c r="U36" s="173">
        <f>+pronostico!L35*8%</f>
        <v>26489.68</v>
      </c>
      <c r="V36" s="176">
        <v>0</v>
      </c>
      <c r="W36" s="177">
        <f t="shared" ref="W36:W51" si="22">V36*E36</f>
        <v>0</v>
      </c>
      <c r="X36" s="173">
        <f>+pronostico!L35*2%</f>
        <v>6622.42</v>
      </c>
      <c r="Y36" s="178">
        <f t="shared" si="8"/>
        <v>12648822.199999999</v>
      </c>
      <c r="Z36" s="178">
        <f t="shared" si="9"/>
        <v>6324411.0999999996</v>
      </c>
      <c r="AA36" s="173">
        <f>+pronostico!L35*2%</f>
        <v>6622.42</v>
      </c>
      <c r="AB36" s="179">
        <f t="shared" si="10"/>
        <v>12648822.199999999</v>
      </c>
      <c r="AC36" s="180">
        <f t="shared" si="11"/>
        <v>6324411.0999999996</v>
      </c>
      <c r="AD36" s="173">
        <f>+pronostico!L35*10%</f>
        <v>33112.1</v>
      </c>
      <c r="AE36" s="176">
        <f t="shared" si="20"/>
        <v>63244111</v>
      </c>
      <c r="AF36" s="177">
        <f t="shared" si="20"/>
        <v>31622055.5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+pronostico!L36*50%</f>
        <v>154464.5</v>
      </c>
      <c r="G37" s="137">
        <f t="shared" si="13"/>
        <v>335187965</v>
      </c>
      <c r="H37" s="138">
        <f t="shared" si="13"/>
        <v>167593982.5</v>
      </c>
      <c r="I37" s="137">
        <f t="shared" si="21"/>
        <v>92678.7</v>
      </c>
      <c r="J37" s="139">
        <f t="shared" si="15"/>
        <v>46339.35</v>
      </c>
      <c r="K37" s="167">
        <f t="shared" si="0"/>
        <v>15446.45</v>
      </c>
      <c r="L37" s="168" t="s">
        <v>21</v>
      </c>
      <c r="M37" s="169">
        <f>+pronostico!L36*20%</f>
        <v>61785.8</v>
      </c>
      <c r="N37" s="170">
        <f t="shared" si="2"/>
        <v>134075186</v>
      </c>
      <c r="O37" s="171">
        <f t="shared" si="3"/>
        <v>67037593</v>
      </c>
      <c r="P37" s="170">
        <f t="shared" si="16"/>
        <v>30892.9</v>
      </c>
      <c r="Q37" s="172">
        <f t="shared" si="17"/>
        <v>30892.9</v>
      </c>
      <c r="R37" s="173">
        <f>+pronostico!L36*8%</f>
        <v>24714.32</v>
      </c>
      <c r="S37" s="174">
        <f t="shared" si="4"/>
        <v>53630074.399999999</v>
      </c>
      <c r="T37" s="175">
        <f t="shared" si="5"/>
        <v>26815037.199999999</v>
      </c>
      <c r="U37" s="173">
        <f>+pronostico!L36*8%</f>
        <v>24714.32</v>
      </c>
      <c r="V37" s="176">
        <v>0</v>
      </c>
      <c r="W37" s="177">
        <f t="shared" si="22"/>
        <v>0</v>
      </c>
      <c r="X37" s="173">
        <f>+pronostico!L36*2%</f>
        <v>6178.58</v>
      </c>
      <c r="Y37" s="178">
        <f t="shared" si="8"/>
        <v>13407518.6</v>
      </c>
      <c r="Z37" s="178">
        <f t="shared" si="9"/>
        <v>6703759.2999999998</v>
      </c>
      <c r="AA37" s="173">
        <f>+pronostico!L36*2%</f>
        <v>6178.58</v>
      </c>
      <c r="AB37" s="179">
        <f t="shared" si="10"/>
        <v>13407518.6</v>
      </c>
      <c r="AC37" s="180">
        <f t="shared" si="11"/>
        <v>6703759.2999999998</v>
      </c>
      <c r="AD37" s="173">
        <f>+pronostico!L36*10%</f>
        <v>30892.9</v>
      </c>
      <c r="AE37" s="176">
        <f t="shared" ref="AE37:AF51" si="23">+AD37*D37</f>
        <v>67037593</v>
      </c>
      <c r="AF37" s="177">
        <f t="shared" si="23"/>
        <v>33518796.5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+pronostico!L37*50%</f>
        <v>123616</v>
      </c>
      <c r="G38" s="137">
        <f t="shared" si="13"/>
        <v>206438720</v>
      </c>
      <c r="H38" s="138">
        <f t="shared" si="13"/>
        <v>103219360</v>
      </c>
      <c r="I38" s="137">
        <f t="shared" si="21"/>
        <v>74169.599999999991</v>
      </c>
      <c r="J38" s="139">
        <f t="shared" si="15"/>
        <v>37084.799999999996</v>
      </c>
      <c r="K38" s="167">
        <f t="shared" si="0"/>
        <v>12361.6</v>
      </c>
      <c r="L38" s="168" t="s">
        <v>21</v>
      </c>
      <c r="M38" s="169">
        <f>+pronostico!L37*20%</f>
        <v>49446.400000000001</v>
      </c>
      <c r="N38" s="170">
        <f t="shared" si="2"/>
        <v>82575488</v>
      </c>
      <c r="O38" s="171">
        <f t="shared" si="3"/>
        <v>41287744</v>
      </c>
      <c r="P38" s="170">
        <f t="shared" si="16"/>
        <v>24723.200000000001</v>
      </c>
      <c r="Q38" s="172">
        <f t="shared" si="17"/>
        <v>24723.200000000001</v>
      </c>
      <c r="R38" s="173">
        <f>+pronostico!L37*8%</f>
        <v>19778.560000000001</v>
      </c>
      <c r="S38" s="174">
        <f t="shared" si="4"/>
        <v>33030195.200000003</v>
      </c>
      <c r="T38" s="175">
        <f t="shared" si="5"/>
        <v>16515097.600000001</v>
      </c>
      <c r="U38" s="173">
        <f>+pronostico!L37*8%</f>
        <v>19778.560000000001</v>
      </c>
      <c r="V38" s="176">
        <v>0</v>
      </c>
      <c r="W38" s="177">
        <f t="shared" si="22"/>
        <v>0</v>
      </c>
      <c r="X38" s="173">
        <f>+pronostico!L37*2%</f>
        <v>4944.6400000000003</v>
      </c>
      <c r="Y38" s="178">
        <f t="shared" si="8"/>
        <v>8257548.8000000007</v>
      </c>
      <c r="Z38" s="178">
        <f t="shared" si="9"/>
        <v>4128774.4000000004</v>
      </c>
      <c r="AA38" s="173">
        <f>+pronostico!L37*2%</f>
        <v>4944.6400000000003</v>
      </c>
      <c r="AB38" s="179">
        <f t="shared" si="10"/>
        <v>8257548.8000000007</v>
      </c>
      <c r="AC38" s="180">
        <f t="shared" si="11"/>
        <v>4128774.4000000004</v>
      </c>
      <c r="AD38" s="173">
        <f>+pronostico!L37*10%</f>
        <v>24723.200000000001</v>
      </c>
      <c r="AE38" s="176">
        <f t="shared" si="23"/>
        <v>41287744</v>
      </c>
      <c r="AF38" s="177">
        <f t="shared" si="23"/>
        <v>20643872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+pronostico!L38*50%</f>
        <v>61058</v>
      </c>
      <c r="G39" s="137">
        <f t="shared" si="13"/>
        <v>62279160</v>
      </c>
      <c r="H39" s="138">
        <f t="shared" si="13"/>
        <v>31139580</v>
      </c>
      <c r="I39" s="137">
        <f t="shared" si="21"/>
        <v>36634.799999999996</v>
      </c>
      <c r="J39" s="139">
        <f t="shared" si="15"/>
        <v>18317.399999999998</v>
      </c>
      <c r="K39" s="167">
        <f t="shared" si="0"/>
        <v>6105.8</v>
      </c>
      <c r="L39" s="168" t="s">
        <v>21</v>
      </c>
      <c r="M39" s="169">
        <f>+pronostico!L38*20%</f>
        <v>24423.200000000001</v>
      </c>
      <c r="N39" s="170">
        <f t="shared" si="2"/>
        <v>24911664</v>
      </c>
      <c r="O39" s="171">
        <f t="shared" si="3"/>
        <v>12455832</v>
      </c>
      <c r="P39" s="170">
        <f t="shared" si="16"/>
        <v>12211.6</v>
      </c>
      <c r="Q39" s="172">
        <f t="shared" si="17"/>
        <v>12211.6</v>
      </c>
      <c r="R39" s="173">
        <f>+pronostico!L38*8%</f>
        <v>9769.2800000000007</v>
      </c>
      <c r="S39" s="174">
        <f t="shared" si="4"/>
        <v>9964665.6000000015</v>
      </c>
      <c r="T39" s="175">
        <f t="shared" si="5"/>
        <v>4982332.8000000007</v>
      </c>
      <c r="U39" s="173">
        <f>+pronostico!L38*8%</f>
        <v>9769.2800000000007</v>
      </c>
      <c r="V39" s="176">
        <v>0</v>
      </c>
      <c r="W39" s="177">
        <f t="shared" si="22"/>
        <v>0</v>
      </c>
      <c r="X39" s="173">
        <f>+pronostico!L38*2%</f>
        <v>2442.3200000000002</v>
      </c>
      <c r="Y39" s="178">
        <f t="shared" si="8"/>
        <v>2491166.4000000004</v>
      </c>
      <c r="Z39" s="178">
        <f t="shared" si="9"/>
        <v>1245583.2000000002</v>
      </c>
      <c r="AA39" s="173">
        <f>+pronostico!L38*2%</f>
        <v>2442.3200000000002</v>
      </c>
      <c r="AB39" s="179">
        <f t="shared" si="10"/>
        <v>2491166.4000000004</v>
      </c>
      <c r="AC39" s="180">
        <f t="shared" si="11"/>
        <v>1245583.2000000002</v>
      </c>
      <c r="AD39" s="173">
        <f>+pronostico!L38*10%</f>
        <v>12211.6</v>
      </c>
      <c r="AE39" s="176">
        <f t="shared" si="23"/>
        <v>12455832</v>
      </c>
      <c r="AF39" s="177">
        <f t="shared" si="23"/>
        <v>6227916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+pronostico!L39*50%</f>
        <v>67542</v>
      </c>
      <c r="G40" s="137">
        <f t="shared" si="13"/>
        <v>96585060</v>
      </c>
      <c r="H40" s="138">
        <f t="shared" si="13"/>
        <v>48292530</v>
      </c>
      <c r="I40" s="137">
        <f t="shared" si="21"/>
        <v>40525.199999999997</v>
      </c>
      <c r="J40" s="139">
        <f t="shared" si="15"/>
        <v>20262.599999999999</v>
      </c>
      <c r="K40" s="167">
        <f t="shared" si="0"/>
        <v>6754.2000000000007</v>
      </c>
      <c r="L40" s="168" t="s">
        <v>21</v>
      </c>
      <c r="M40" s="169">
        <f>+pronostico!L39*20%</f>
        <v>27016.800000000003</v>
      </c>
      <c r="N40" s="170">
        <f t="shared" si="2"/>
        <v>38634024.000000007</v>
      </c>
      <c r="O40" s="171">
        <f t="shared" si="3"/>
        <v>19317012.000000004</v>
      </c>
      <c r="P40" s="170">
        <f t="shared" si="16"/>
        <v>13508.400000000001</v>
      </c>
      <c r="Q40" s="172">
        <f t="shared" si="17"/>
        <v>13508.400000000001</v>
      </c>
      <c r="R40" s="173">
        <f>+pronostico!L39*8%</f>
        <v>10806.72</v>
      </c>
      <c r="S40" s="174">
        <f t="shared" si="4"/>
        <v>15453609.6</v>
      </c>
      <c r="T40" s="175">
        <f t="shared" si="5"/>
        <v>7726804.7999999998</v>
      </c>
      <c r="U40" s="173">
        <f>+pronostico!L39*8%</f>
        <v>10806.72</v>
      </c>
      <c r="V40" s="176">
        <v>0</v>
      </c>
      <c r="W40" s="177">
        <f t="shared" si="22"/>
        <v>0</v>
      </c>
      <c r="X40" s="173">
        <f>+pronostico!L39*2%</f>
        <v>2701.68</v>
      </c>
      <c r="Y40" s="178">
        <f t="shared" si="8"/>
        <v>3863402.4</v>
      </c>
      <c r="Z40" s="178">
        <f t="shared" si="9"/>
        <v>1931701.2</v>
      </c>
      <c r="AA40" s="173">
        <f>+pronostico!L39*2%</f>
        <v>2701.68</v>
      </c>
      <c r="AB40" s="179">
        <f t="shared" si="10"/>
        <v>3863402.4</v>
      </c>
      <c r="AC40" s="180">
        <f t="shared" si="11"/>
        <v>1931701.2</v>
      </c>
      <c r="AD40" s="173">
        <f>+pronostico!L39*10%</f>
        <v>13508.400000000001</v>
      </c>
      <c r="AE40" s="176">
        <f t="shared" si="23"/>
        <v>19317012.000000004</v>
      </c>
      <c r="AF40" s="177">
        <f t="shared" si="23"/>
        <v>9658506.0000000019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+pronostico!L40*50%</f>
        <v>56250</v>
      </c>
      <c r="G41" s="137">
        <f t="shared" si="13"/>
        <v>745875000</v>
      </c>
      <c r="H41" s="138">
        <f t="shared" si="13"/>
        <v>298350000</v>
      </c>
      <c r="I41" s="137">
        <f t="shared" si="21"/>
        <v>33750</v>
      </c>
      <c r="J41" s="139">
        <f t="shared" si="15"/>
        <v>16875</v>
      </c>
      <c r="K41" s="167">
        <f t="shared" si="0"/>
        <v>5625</v>
      </c>
      <c r="L41" s="168" t="s">
        <v>21</v>
      </c>
      <c r="M41" s="169">
        <f>+pronostico!L40*20%</f>
        <v>22500</v>
      </c>
      <c r="N41" s="170">
        <f t="shared" si="2"/>
        <v>298350000</v>
      </c>
      <c r="O41" s="171">
        <f t="shared" si="3"/>
        <v>119340000</v>
      </c>
      <c r="P41" s="170">
        <f t="shared" si="16"/>
        <v>11250</v>
      </c>
      <c r="Q41" s="172">
        <f t="shared" si="17"/>
        <v>11250</v>
      </c>
      <c r="R41" s="173">
        <f>+pronostico!L40*8%</f>
        <v>9000</v>
      </c>
      <c r="S41" s="174">
        <f t="shared" si="4"/>
        <v>119340000</v>
      </c>
      <c r="T41" s="175">
        <f t="shared" si="5"/>
        <v>47736000</v>
      </c>
      <c r="U41" s="173">
        <f>+pronostico!L40*8%</f>
        <v>9000</v>
      </c>
      <c r="V41" s="176">
        <v>0</v>
      </c>
      <c r="W41" s="177">
        <f t="shared" si="22"/>
        <v>0</v>
      </c>
      <c r="X41" s="173">
        <f>+pronostico!L40*2%</f>
        <v>2250</v>
      </c>
      <c r="Y41" s="178">
        <f t="shared" si="8"/>
        <v>29835000</v>
      </c>
      <c r="Z41" s="178">
        <f t="shared" si="9"/>
        <v>11934000</v>
      </c>
      <c r="AA41" s="173">
        <f>+pronostico!L40*2%</f>
        <v>2250</v>
      </c>
      <c r="AB41" s="179">
        <f t="shared" si="10"/>
        <v>29835000</v>
      </c>
      <c r="AC41" s="180">
        <f t="shared" si="11"/>
        <v>11934000</v>
      </c>
      <c r="AD41" s="173">
        <f>+pronostico!L40*10%</f>
        <v>11250</v>
      </c>
      <c r="AE41" s="176">
        <f t="shared" si="23"/>
        <v>149175000</v>
      </c>
      <c r="AF41" s="177">
        <f t="shared" si="23"/>
        <v>59670000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+pronostico!L41*50%</f>
        <v>31246.5</v>
      </c>
      <c r="G42" s="137">
        <f t="shared" si="13"/>
        <v>88740060</v>
      </c>
      <c r="H42" s="138">
        <f t="shared" si="13"/>
        <v>44370030</v>
      </c>
      <c r="I42" s="137">
        <f t="shared" si="21"/>
        <v>18747.899999999998</v>
      </c>
      <c r="J42" s="139">
        <f t="shared" si="15"/>
        <v>9373.9499999999989</v>
      </c>
      <c r="K42" s="167">
        <f t="shared" si="0"/>
        <v>3124.65</v>
      </c>
      <c r="L42" s="168" t="s">
        <v>21</v>
      </c>
      <c r="M42" s="169">
        <f>+pronostico!L41*20%</f>
        <v>12498.6</v>
      </c>
      <c r="N42" s="170">
        <f t="shared" si="2"/>
        <v>35496024</v>
      </c>
      <c r="O42" s="171">
        <f t="shared" si="3"/>
        <v>17748012</v>
      </c>
      <c r="P42" s="170">
        <f t="shared" si="16"/>
        <v>6249.3</v>
      </c>
      <c r="Q42" s="172">
        <f t="shared" si="17"/>
        <v>6249.3</v>
      </c>
      <c r="R42" s="173">
        <f>+pronostico!L41*8%</f>
        <v>4999.4400000000005</v>
      </c>
      <c r="S42" s="174">
        <f t="shared" si="4"/>
        <v>14198409.600000001</v>
      </c>
      <c r="T42" s="175">
        <f t="shared" si="5"/>
        <v>7099204.8000000007</v>
      </c>
      <c r="U42" s="173">
        <f>+pronostico!L41*8%</f>
        <v>4999.4400000000005</v>
      </c>
      <c r="V42" s="176">
        <v>0</v>
      </c>
      <c r="W42" s="177">
        <f t="shared" si="22"/>
        <v>0</v>
      </c>
      <c r="X42" s="173">
        <f>+pronostico!L41*2%</f>
        <v>1249.8600000000001</v>
      </c>
      <c r="Y42" s="178">
        <f t="shared" si="8"/>
        <v>3549602.4000000004</v>
      </c>
      <c r="Z42" s="178">
        <f t="shared" si="9"/>
        <v>1774801.2000000002</v>
      </c>
      <c r="AA42" s="173">
        <f>+pronostico!L41*2%</f>
        <v>1249.8600000000001</v>
      </c>
      <c r="AB42" s="179">
        <f t="shared" si="10"/>
        <v>3549602.4000000004</v>
      </c>
      <c r="AC42" s="180">
        <f t="shared" si="11"/>
        <v>1774801.2000000002</v>
      </c>
      <c r="AD42" s="173">
        <f>+pronostico!L41*10%</f>
        <v>6249.3</v>
      </c>
      <c r="AE42" s="176">
        <f t="shared" si="23"/>
        <v>17748012</v>
      </c>
      <c r="AF42" s="177">
        <f t="shared" si="23"/>
        <v>8874006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+pronostico!L42*50%</f>
        <v>28187</v>
      </c>
      <c r="G43" s="137">
        <f t="shared" si="13"/>
        <v>107110600</v>
      </c>
      <c r="H43" s="138">
        <f t="shared" si="13"/>
        <v>42844240</v>
      </c>
      <c r="I43" s="137">
        <f t="shared" si="21"/>
        <v>16912.2</v>
      </c>
      <c r="J43" s="139">
        <f t="shared" si="15"/>
        <v>8456.1</v>
      </c>
      <c r="K43" s="167">
        <f t="shared" si="0"/>
        <v>2818.7000000000003</v>
      </c>
      <c r="L43" s="168" t="s">
        <v>21</v>
      </c>
      <c r="M43" s="169">
        <f>+pronostico!L42*20%</f>
        <v>11274.800000000001</v>
      </c>
      <c r="N43" s="170">
        <f t="shared" si="2"/>
        <v>42844240.000000007</v>
      </c>
      <c r="O43" s="171">
        <f t="shared" si="3"/>
        <v>17137696.000000004</v>
      </c>
      <c r="P43" s="170">
        <f t="shared" si="16"/>
        <v>5637.4000000000005</v>
      </c>
      <c r="Q43" s="172">
        <f t="shared" si="17"/>
        <v>5637.4000000000005</v>
      </c>
      <c r="R43" s="173">
        <f>+pronostico!L42*8%</f>
        <v>4509.92</v>
      </c>
      <c r="S43" s="174">
        <f t="shared" si="4"/>
        <v>17137696</v>
      </c>
      <c r="T43" s="175">
        <f t="shared" si="5"/>
        <v>6855078.4000000004</v>
      </c>
      <c r="U43" s="173">
        <f>+pronostico!L42*8%</f>
        <v>4509.92</v>
      </c>
      <c r="V43" s="176">
        <v>0</v>
      </c>
      <c r="W43" s="177">
        <f t="shared" si="22"/>
        <v>0</v>
      </c>
      <c r="X43" s="173">
        <f>+pronostico!L42*2%</f>
        <v>1127.48</v>
      </c>
      <c r="Y43" s="178">
        <f t="shared" si="8"/>
        <v>4284424</v>
      </c>
      <c r="Z43" s="178">
        <f t="shared" si="9"/>
        <v>1713769.6</v>
      </c>
      <c r="AA43" s="173">
        <f>+pronostico!L42*2%</f>
        <v>1127.48</v>
      </c>
      <c r="AB43" s="179">
        <f t="shared" si="10"/>
        <v>4284424</v>
      </c>
      <c r="AC43" s="180">
        <f t="shared" si="11"/>
        <v>1713769.6</v>
      </c>
      <c r="AD43" s="173">
        <f>+pronostico!L42*10%</f>
        <v>5637.4000000000005</v>
      </c>
      <c r="AE43" s="176">
        <f t="shared" si="23"/>
        <v>21422120.000000004</v>
      </c>
      <c r="AF43" s="177">
        <f t="shared" si="23"/>
        <v>8568848.0000000019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+pronostico!L43*50%</f>
        <v>27339.288688079239</v>
      </c>
      <c r="G44" s="137">
        <f t="shared" si="13"/>
        <v>94047153.086992577</v>
      </c>
      <c r="H44" s="138">
        <f t="shared" si="13"/>
        <v>47023576.543496288</v>
      </c>
      <c r="I44" s="137">
        <f t="shared" si="21"/>
        <v>16403.573212847543</v>
      </c>
      <c r="J44" s="139">
        <f t="shared" si="15"/>
        <v>8201.7866064237714</v>
      </c>
      <c r="K44" s="167">
        <f t="shared" si="0"/>
        <v>2733.9288688079241</v>
      </c>
      <c r="L44" s="168" t="s">
        <v>21</v>
      </c>
      <c r="M44" s="169">
        <f>+pronostico!L43*20%</f>
        <v>10935.715475231696</v>
      </c>
      <c r="N44" s="170">
        <f t="shared" si="2"/>
        <v>37618861.234797038</v>
      </c>
      <c r="O44" s="171">
        <f t="shared" si="3"/>
        <v>18809430.617398519</v>
      </c>
      <c r="P44" s="170">
        <f t="shared" si="16"/>
        <v>5467.8577376158482</v>
      </c>
      <c r="Q44" s="172">
        <f t="shared" si="17"/>
        <v>5467.8577376158482</v>
      </c>
      <c r="R44" s="173">
        <f>+pronostico!L43*8%</f>
        <v>4374.2861900926782</v>
      </c>
      <c r="S44" s="174">
        <f t="shared" si="4"/>
        <v>15047544.493918814</v>
      </c>
      <c r="T44" s="175">
        <f t="shared" si="5"/>
        <v>7523772.2469594069</v>
      </c>
      <c r="U44" s="173">
        <f>+pronostico!L43*8%</f>
        <v>4374.2861900926782</v>
      </c>
      <c r="V44" s="176">
        <f t="shared" ref="V44:V51" si="24">U44*D44</f>
        <v>15047544.493918814</v>
      </c>
      <c r="W44" s="177">
        <f t="shared" si="22"/>
        <v>7523772.2469594069</v>
      </c>
      <c r="X44" s="173">
        <f>+pronostico!L43*2%</f>
        <v>1093.5715475231696</v>
      </c>
      <c r="Y44" s="178">
        <f t="shared" si="8"/>
        <v>3761886.1234797034</v>
      </c>
      <c r="Z44" s="178">
        <f t="shared" si="9"/>
        <v>1880943.0617398517</v>
      </c>
      <c r="AA44" s="173">
        <f>+pronostico!L43*2%</f>
        <v>1093.5715475231696</v>
      </c>
      <c r="AB44" s="179">
        <f t="shared" si="10"/>
        <v>3761886.1234797034</v>
      </c>
      <c r="AC44" s="180">
        <f t="shared" si="11"/>
        <v>1880943.0617398517</v>
      </c>
      <c r="AD44" s="173">
        <f>+pronostico!L43*10%</f>
        <v>5467.8577376158482</v>
      </c>
      <c r="AE44" s="176">
        <f t="shared" si="23"/>
        <v>18809430.617398519</v>
      </c>
      <c r="AF44" s="177">
        <f t="shared" si="23"/>
        <v>9404715.3086992595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+pronostico!L44*50%</f>
        <v>31820.383880810583</v>
      </c>
      <c r="G45" s="137">
        <f t="shared" si="13"/>
        <v>65549990.794469804</v>
      </c>
      <c r="H45" s="138">
        <f t="shared" si="13"/>
        <v>32774995.397234902</v>
      </c>
      <c r="I45" s="137">
        <f t="shared" si="21"/>
        <v>19092.230328486348</v>
      </c>
      <c r="J45" s="139">
        <f t="shared" si="15"/>
        <v>9546.1151642431741</v>
      </c>
      <c r="K45" s="167">
        <f t="shared" si="0"/>
        <v>3182.0383880810587</v>
      </c>
      <c r="L45" s="168" t="s">
        <v>21</v>
      </c>
      <c r="M45" s="169">
        <f>+pronostico!L44*20%</f>
        <v>12728.153552324235</v>
      </c>
      <c r="N45" s="170">
        <f t="shared" si="2"/>
        <v>26219996.317787923</v>
      </c>
      <c r="O45" s="171">
        <f t="shared" si="3"/>
        <v>13109998.158893961</v>
      </c>
      <c r="P45" s="170">
        <f t="shared" si="16"/>
        <v>6364.0767761621173</v>
      </c>
      <c r="Q45" s="172">
        <f t="shared" si="17"/>
        <v>6364.0767761621173</v>
      </c>
      <c r="R45" s="173">
        <f>+pronostico!L44*8%</f>
        <v>5091.2614209296935</v>
      </c>
      <c r="S45" s="174">
        <f t="shared" si="4"/>
        <v>10487998.527115168</v>
      </c>
      <c r="T45" s="175">
        <f t="shared" si="5"/>
        <v>5243999.263557584</v>
      </c>
      <c r="U45" s="173">
        <f>+pronostico!L44*8%</f>
        <v>5091.2614209296935</v>
      </c>
      <c r="V45" s="176">
        <f t="shared" si="24"/>
        <v>10487998.527115168</v>
      </c>
      <c r="W45" s="177">
        <f t="shared" si="22"/>
        <v>5243999.263557584</v>
      </c>
      <c r="X45" s="173">
        <f>+pronostico!L44*2%</f>
        <v>1272.8153552324234</v>
      </c>
      <c r="Y45" s="178">
        <f t="shared" si="8"/>
        <v>2621999.631778792</v>
      </c>
      <c r="Z45" s="178">
        <f t="shared" si="9"/>
        <v>1310999.815889396</v>
      </c>
      <c r="AA45" s="173">
        <f>+pronostico!L44*2%</f>
        <v>1272.8153552324234</v>
      </c>
      <c r="AB45" s="179">
        <f t="shared" si="10"/>
        <v>2621999.631778792</v>
      </c>
      <c r="AC45" s="180">
        <f t="shared" si="11"/>
        <v>1310999.815889396</v>
      </c>
      <c r="AD45" s="173">
        <f>+pronostico!L44*10%</f>
        <v>6364.0767761621173</v>
      </c>
      <c r="AE45" s="176">
        <f t="shared" si="23"/>
        <v>13109998.158893961</v>
      </c>
      <c r="AF45" s="177">
        <f t="shared" si="23"/>
        <v>6554999.0794469807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+pronostico!L45*50%</f>
        <v>16516.02272930236</v>
      </c>
      <c r="G46" s="137">
        <f t="shared" si="13"/>
        <v>46410023.86933963</v>
      </c>
      <c r="H46" s="138">
        <f t="shared" si="13"/>
        <v>23205011.934669815</v>
      </c>
      <c r="I46" s="137">
        <f t="shared" si="21"/>
        <v>9909.6136375814149</v>
      </c>
      <c r="J46" s="139">
        <f t="shared" si="15"/>
        <v>4954.8068187907074</v>
      </c>
      <c r="K46" s="167">
        <f t="shared" si="0"/>
        <v>1651.602272930236</v>
      </c>
      <c r="L46" s="168" t="s">
        <v>21</v>
      </c>
      <c r="M46" s="169">
        <f>+pronostico!L45*20%</f>
        <v>6606.4090917209442</v>
      </c>
      <c r="N46" s="170">
        <f t="shared" si="2"/>
        <v>18564009.547735851</v>
      </c>
      <c r="O46" s="171">
        <f t="shared" si="3"/>
        <v>9282004.7738679256</v>
      </c>
      <c r="P46" s="170">
        <f t="shared" si="16"/>
        <v>3303.2045458604721</v>
      </c>
      <c r="Q46" s="172">
        <f t="shared" si="17"/>
        <v>3303.2045458604721</v>
      </c>
      <c r="R46" s="173">
        <f>+pronostico!L45*8%</f>
        <v>2642.5636366883778</v>
      </c>
      <c r="S46" s="174">
        <f t="shared" si="4"/>
        <v>7425603.8190943412</v>
      </c>
      <c r="T46" s="175">
        <f t="shared" si="5"/>
        <v>3712801.9095471706</v>
      </c>
      <c r="U46" s="173">
        <f>+pronostico!L45*8%</f>
        <v>2642.5636366883778</v>
      </c>
      <c r="V46" s="176">
        <f t="shared" si="24"/>
        <v>7425603.8190943412</v>
      </c>
      <c r="W46" s="177">
        <f t="shared" si="22"/>
        <v>3712801.9095471706</v>
      </c>
      <c r="X46" s="173">
        <f>+pronostico!L45*2%</f>
        <v>660.64090917209444</v>
      </c>
      <c r="Y46" s="178">
        <f t="shared" si="8"/>
        <v>1856400.9547735853</v>
      </c>
      <c r="Z46" s="178">
        <f t="shared" si="9"/>
        <v>928200.47738679266</v>
      </c>
      <c r="AA46" s="173">
        <f>+pronostico!L45*2%</f>
        <v>660.64090917209444</v>
      </c>
      <c r="AB46" s="179">
        <f t="shared" si="10"/>
        <v>1856400.9547735853</v>
      </c>
      <c r="AC46" s="180">
        <f t="shared" si="11"/>
        <v>928200.47738679266</v>
      </c>
      <c r="AD46" s="173">
        <f>+pronostico!L45*10%</f>
        <v>3303.2045458604721</v>
      </c>
      <c r="AE46" s="176">
        <f t="shared" si="23"/>
        <v>9282004.7738679256</v>
      </c>
      <c r="AF46" s="177">
        <f t="shared" si="23"/>
        <v>4641002.3869339628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+pronostico!L46*50%</f>
        <v>13493.941974578969</v>
      </c>
      <c r="G47" s="137">
        <f t="shared" si="13"/>
        <v>55864919.774756931</v>
      </c>
      <c r="H47" s="138">
        <f t="shared" si="13"/>
        <v>22345967.909902774</v>
      </c>
      <c r="I47" s="137">
        <f t="shared" si="21"/>
        <v>8096.3651847473811</v>
      </c>
      <c r="J47" s="139">
        <f t="shared" si="15"/>
        <v>4048.1825923736906</v>
      </c>
      <c r="K47" s="167">
        <f t="shared" si="0"/>
        <v>1349.394197457897</v>
      </c>
      <c r="L47" s="168" t="s">
        <v>21</v>
      </c>
      <c r="M47" s="169">
        <f>+pronostico!L46*20%</f>
        <v>5397.576789831588</v>
      </c>
      <c r="N47" s="170">
        <f t="shared" si="2"/>
        <v>22345967.909902774</v>
      </c>
      <c r="O47" s="171">
        <f t="shared" si="3"/>
        <v>8938387.1639611106</v>
      </c>
      <c r="P47" s="170">
        <f t="shared" si="16"/>
        <v>2698.788394915794</v>
      </c>
      <c r="Q47" s="172">
        <f t="shared" si="17"/>
        <v>2698.788394915794</v>
      </c>
      <c r="R47" s="173">
        <f>+pronostico!L46*8%</f>
        <v>2159.0307159326353</v>
      </c>
      <c r="S47" s="174">
        <f t="shared" si="4"/>
        <v>8938387.1639611106</v>
      </c>
      <c r="T47" s="175">
        <f t="shared" si="5"/>
        <v>3575354.8655844443</v>
      </c>
      <c r="U47" s="173">
        <f>+pronostico!L46*8%</f>
        <v>2159.0307159326353</v>
      </c>
      <c r="V47" s="176">
        <f t="shared" si="24"/>
        <v>8938387.1639611106</v>
      </c>
      <c r="W47" s="177">
        <f t="shared" si="22"/>
        <v>3575354.8655844443</v>
      </c>
      <c r="X47" s="173">
        <f>+pronostico!L46*2%</f>
        <v>539.75767898315883</v>
      </c>
      <c r="Y47" s="178">
        <f t="shared" si="8"/>
        <v>2234596.7909902777</v>
      </c>
      <c r="Z47" s="178">
        <f t="shared" si="9"/>
        <v>893838.71639611106</v>
      </c>
      <c r="AA47" s="173">
        <f>+pronostico!L46*2%</f>
        <v>539.75767898315883</v>
      </c>
      <c r="AB47" s="179">
        <f t="shared" si="10"/>
        <v>2234596.7909902777</v>
      </c>
      <c r="AC47" s="180">
        <f t="shared" si="11"/>
        <v>893838.71639611106</v>
      </c>
      <c r="AD47" s="173">
        <f>+pronostico!L46*10%</f>
        <v>2698.788394915794</v>
      </c>
      <c r="AE47" s="176">
        <f t="shared" si="23"/>
        <v>11172983.954951387</v>
      </c>
      <c r="AF47" s="177">
        <f t="shared" si="23"/>
        <v>4469193.5819805553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+pronostico!L47*50%</f>
        <v>14877.2438158231</v>
      </c>
      <c r="G48" s="137">
        <f t="shared" si="13"/>
        <v>31986074.204019666</v>
      </c>
      <c r="H48" s="138">
        <f t="shared" si="13"/>
        <v>15993037.102009833</v>
      </c>
      <c r="I48" s="137">
        <f t="shared" si="21"/>
        <v>8926.3462894938602</v>
      </c>
      <c r="J48" s="139">
        <f t="shared" si="15"/>
        <v>4463.1731447469301</v>
      </c>
      <c r="K48" s="167">
        <f t="shared" si="0"/>
        <v>1487.7243815823101</v>
      </c>
      <c r="L48" s="168" t="s">
        <v>21</v>
      </c>
      <c r="M48" s="169">
        <f>+pronostico!L47*20%</f>
        <v>5950.8975263292405</v>
      </c>
      <c r="N48" s="170">
        <f t="shared" si="2"/>
        <v>12794429.681607867</v>
      </c>
      <c r="O48" s="171">
        <f t="shared" si="3"/>
        <v>6397214.8408039333</v>
      </c>
      <c r="P48" s="170">
        <f t="shared" si="16"/>
        <v>2975.4487631646202</v>
      </c>
      <c r="Q48" s="172">
        <f t="shared" si="17"/>
        <v>2975.4487631646202</v>
      </c>
      <c r="R48" s="173">
        <f>+pronostico!L47*8%</f>
        <v>2380.3590105316962</v>
      </c>
      <c r="S48" s="174">
        <f t="shared" si="4"/>
        <v>5117771.8726431467</v>
      </c>
      <c r="T48" s="175">
        <f t="shared" si="5"/>
        <v>2558885.9363215733</v>
      </c>
      <c r="U48" s="173">
        <f>+pronostico!L47*8%</f>
        <v>2380.3590105316962</v>
      </c>
      <c r="V48" s="176">
        <f t="shared" si="24"/>
        <v>5117771.8726431467</v>
      </c>
      <c r="W48" s="177">
        <f t="shared" si="22"/>
        <v>2558885.9363215733</v>
      </c>
      <c r="X48" s="173">
        <f>+pronostico!L47*2%</f>
        <v>595.08975263292405</v>
      </c>
      <c r="Y48" s="178">
        <f t="shared" si="8"/>
        <v>1279442.9681607867</v>
      </c>
      <c r="Z48" s="178">
        <f t="shared" si="9"/>
        <v>639721.48408039333</v>
      </c>
      <c r="AA48" s="173">
        <f>+pronostico!L47*2%</f>
        <v>595.08975263292405</v>
      </c>
      <c r="AB48" s="179">
        <f t="shared" si="10"/>
        <v>1279442.9681607867</v>
      </c>
      <c r="AC48" s="180">
        <f t="shared" si="11"/>
        <v>639721.48408039333</v>
      </c>
      <c r="AD48" s="173">
        <f>+pronostico!L47*10%</f>
        <v>2975.4487631646202</v>
      </c>
      <c r="AE48" s="176">
        <f t="shared" si="23"/>
        <v>6397214.8408039333</v>
      </c>
      <c r="AF48" s="177">
        <f t="shared" si="23"/>
        <v>3198607.4204019667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+pronostico!L48*50%</f>
        <v>11807.199227756617</v>
      </c>
      <c r="G49" s="137">
        <f t="shared" si="13"/>
        <v>25385478.339676727</v>
      </c>
      <c r="H49" s="138">
        <f t="shared" si="13"/>
        <v>12692739.169838363</v>
      </c>
      <c r="I49" s="137">
        <f t="shared" si="21"/>
        <v>7084.3195366539703</v>
      </c>
      <c r="J49" s="139">
        <f t="shared" si="15"/>
        <v>3542.1597683269852</v>
      </c>
      <c r="K49" s="167">
        <f t="shared" si="0"/>
        <v>1180.7199227756616</v>
      </c>
      <c r="L49" s="168" t="s">
        <v>21</v>
      </c>
      <c r="M49" s="169">
        <f>+pronostico!L48*20%</f>
        <v>4722.8796911026466</v>
      </c>
      <c r="N49" s="170">
        <f t="shared" si="2"/>
        <v>10154191.335870691</v>
      </c>
      <c r="O49" s="171">
        <f t="shared" si="3"/>
        <v>5077095.6679353453</v>
      </c>
      <c r="P49" s="170">
        <f t="shared" si="16"/>
        <v>2361.4398455513233</v>
      </c>
      <c r="Q49" s="172">
        <f t="shared" si="17"/>
        <v>2361.4398455513233</v>
      </c>
      <c r="R49" s="173">
        <f>+pronostico!L48*8%</f>
        <v>1889.1518764410587</v>
      </c>
      <c r="S49" s="174">
        <f t="shared" si="4"/>
        <v>4061676.534348276</v>
      </c>
      <c r="T49" s="175">
        <f t="shared" si="5"/>
        <v>2030838.267174138</v>
      </c>
      <c r="U49" s="173">
        <f>+pronostico!L48*8%</f>
        <v>1889.1518764410587</v>
      </c>
      <c r="V49" s="176">
        <f t="shared" si="24"/>
        <v>4061676.534348276</v>
      </c>
      <c r="W49" s="177">
        <f t="shared" si="22"/>
        <v>2030838.267174138</v>
      </c>
      <c r="X49" s="173">
        <f>+pronostico!L48*2%</f>
        <v>472.28796911026467</v>
      </c>
      <c r="Y49" s="178">
        <f t="shared" si="8"/>
        <v>1015419.133587069</v>
      </c>
      <c r="Z49" s="178">
        <f t="shared" si="9"/>
        <v>507709.5667935345</v>
      </c>
      <c r="AA49" s="173">
        <f>+pronostico!L48*2%</f>
        <v>472.28796911026467</v>
      </c>
      <c r="AB49" s="179">
        <f t="shared" si="10"/>
        <v>1015419.133587069</v>
      </c>
      <c r="AC49" s="180">
        <f t="shared" si="11"/>
        <v>507709.5667935345</v>
      </c>
      <c r="AD49" s="173">
        <f>+pronostico!L48*10%</f>
        <v>2361.4398455513233</v>
      </c>
      <c r="AE49" s="176">
        <f t="shared" si="23"/>
        <v>5077095.6679353453</v>
      </c>
      <c r="AF49" s="177">
        <f t="shared" si="23"/>
        <v>2538547.8339676727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+pronostico!L49*50%</f>
        <v>8644.5565774646675</v>
      </c>
      <c r="G50" s="137">
        <f t="shared" si="13"/>
        <v>35269790.836055845</v>
      </c>
      <c r="H50" s="138">
        <f t="shared" si="13"/>
        <v>14107916.334422339</v>
      </c>
      <c r="I50" s="137">
        <f t="shared" si="21"/>
        <v>5186.7339464788001</v>
      </c>
      <c r="J50" s="139">
        <f t="shared" si="15"/>
        <v>2593.3669732394001</v>
      </c>
      <c r="K50" s="167">
        <f t="shared" si="0"/>
        <v>864.45565774646684</v>
      </c>
      <c r="L50" s="168" t="s">
        <v>21</v>
      </c>
      <c r="M50" s="169">
        <f>+pronostico!L49*20%</f>
        <v>3457.8226309858674</v>
      </c>
      <c r="N50" s="170">
        <f t="shared" si="2"/>
        <v>14107916.334422339</v>
      </c>
      <c r="O50" s="171">
        <f t="shared" si="3"/>
        <v>5643166.5337689361</v>
      </c>
      <c r="P50" s="170">
        <f t="shared" si="16"/>
        <v>1728.9113154929337</v>
      </c>
      <c r="Q50" s="172">
        <f t="shared" si="17"/>
        <v>1728.9113154929337</v>
      </c>
      <c r="R50" s="173">
        <f>+pronostico!L49*8%</f>
        <v>1383.1290523943469</v>
      </c>
      <c r="S50" s="174">
        <f t="shared" si="4"/>
        <v>5643166.5337689351</v>
      </c>
      <c r="T50" s="175">
        <f t="shared" si="5"/>
        <v>2257266.613507574</v>
      </c>
      <c r="U50" s="173">
        <f>+pronostico!L49*8%</f>
        <v>1383.1290523943469</v>
      </c>
      <c r="V50" s="176">
        <f t="shared" si="24"/>
        <v>5643166.5337689351</v>
      </c>
      <c r="W50" s="177">
        <f t="shared" si="22"/>
        <v>2257266.613507574</v>
      </c>
      <c r="X50" s="173">
        <f>+pronostico!L49*2%</f>
        <v>345.78226309858672</v>
      </c>
      <c r="Y50" s="178">
        <f t="shared" si="8"/>
        <v>1410791.6334422338</v>
      </c>
      <c r="Z50" s="178">
        <f t="shared" si="9"/>
        <v>564316.65337689349</v>
      </c>
      <c r="AA50" s="173">
        <f>+pronostico!L49*2%</f>
        <v>345.78226309858672</v>
      </c>
      <c r="AB50" s="179">
        <f t="shared" si="10"/>
        <v>1410791.6334422338</v>
      </c>
      <c r="AC50" s="180">
        <f t="shared" si="11"/>
        <v>564316.65337689349</v>
      </c>
      <c r="AD50" s="173">
        <f>+pronostico!L49*10%</f>
        <v>1728.9113154929337</v>
      </c>
      <c r="AE50" s="176">
        <f t="shared" si="23"/>
        <v>7053958.1672111694</v>
      </c>
      <c r="AF50" s="177">
        <f t="shared" si="23"/>
        <v>2821583.266884468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+pronostico!L50*50%</f>
        <v>9417.6470030915498</v>
      </c>
      <c r="G51" s="150">
        <f t="shared" si="13"/>
        <v>52362117.337189019</v>
      </c>
      <c r="H51" s="138">
        <f t="shared" si="13"/>
        <v>20944846.934875607</v>
      </c>
      <c r="I51" s="150">
        <f t="shared" si="21"/>
        <v>5650.58820185493</v>
      </c>
      <c r="J51" s="151">
        <f t="shared" si="15"/>
        <v>2825.294100927465</v>
      </c>
      <c r="K51" s="181">
        <f t="shared" si="0"/>
        <v>941.76470030915505</v>
      </c>
      <c r="L51" s="182" t="s">
        <v>21</v>
      </c>
      <c r="M51" s="169">
        <f>+pronostico!L50*20%</f>
        <v>3767.0588012366202</v>
      </c>
      <c r="N51" s="170">
        <f t="shared" si="2"/>
        <v>20944846.934875607</v>
      </c>
      <c r="O51" s="171">
        <f t="shared" si="3"/>
        <v>8377938.7739502434</v>
      </c>
      <c r="P51" s="183">
        <f t="shared" si="16"/>
        <v>1883.5294006183101</v>
      </c>
      <c r="Q51" s="184">
        <f t="shared" si="17"/>
        <v>1883.5294006183101</v>
      </c>
      <c r="R51" s="173">
        <f>+pronostico!L50*8%</f>
        <v>1506.8235204946479</v>
      </c>
      <c r="S51" s="174">
        <f t="shared" si="4"/>
        <v>8377938.7739502424</v>
      </c>
      <c r="T51" s="175">
        <f t="shared" si="5"/>
        <v>3351175.5095800972</v>
      </c>
      <c r="U51" s="173">
        <f>+pronostico!L50*8%</f>
        <v>1506.8235204946479</v>
      </c>
      <c r="V51" s="176">
        <f t="shared" si="24"/>
        <v>8377938.7739502424</v>
      </c>
      <c r="W51" s="177">
        <f t="shared" si="22"/>
        <v>3351175.5095800972</v>
      </c>
      <c r="X51" s="173">
        <f>+pronostico!L50*2%</f>
        <v>376.70588012366198</v>
      </c>
      <c r="Y51" s="178">
        <f t="shared" si="8"/>
        <v>2094484.6934875606</v>
      </c>
      <c r="Z51" s="178">
        <f t="shared" si="9"/>
        <v>837793.87739502429</v>
      </c>
      <c r="AA51" s="173">
        <f>+pronostico!L50*2%</f>
        <v>376.70588012366198</v>
      </c>
      <c r="AB51" s="179">
        <f t="shared" si="10"/>
        <v>2094484.6934875606</v>
      </c>
      <c r="AC51" s="180">
        <f t="shared" si="11"/>
        <v>837793.87739502429</v>
      </c>
      <c r="AD51" s="173">
        <f>+pronostico!L50*10%</f>
        <v>1883.5294006183101</v>
      </c>
      <c r="AE51" s="176">
        <f t="shared" si="23"/>
        <v>10472423.467437804</v>
      </c>
      <c r="AF51" s="177">
        <f t="shared" si="23"/>
        <v>4188969.3869751217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5715970891.0555382</v>
      </c>
      <c r="H52" s="186">
        <f>SUM(H4:H51)</f>
        <v>2534227581.0077753</v>
      </c>
      <c r="I52" s="187"/>
      <c r="J52" s="188"/>
      <c r="K52" s="188"/>
      <c r="L52" s="189"/>
      <c r="M52" s="185"/>
      <c r="N52" s="277">
        <f>SUM(N4:N51)</f>
        <v>2286388356.422215</v>
      </c>
      <c r="O52" s="190">
        <f>SUM(O4:O51)</f>
        <v>1013691032.4031101</v>
      </c>
      <c r="P52" s="187"/>
      <c r="Q52" s="189"/>
      <c r="R52" s="185"/>
      <c r="S52" s="274">
        <f>SUM(S4:S51)</f>
        <v>914555342.56888604</v>
      </c>
      <c r="T52" s="191">
        <f>SUM(T4:T51)</f>
        <v>405476412.96124411</v>
      </c>
      <c r="U52" s="185"/>
      <c r="V52" s="274">
        <f>SUM(V4:V51)</f>
        <v>601205403.36888599</v>
      </c>
      <c r="W52" s="191">
        <f>SUM(W4:W51)</f>
        <v>262449212.96124414</v>
      </c>
      <c r="X52" s="185"/>
      <c r="Y52" s="274">
        <f>SUM(Y4:Y51)</f>
        <v>228638835.64222151</v>
      </c>
      <c r="Z52" s="192">
        <f>SUM(Z4:Z51)</f>
        <v>101369103.24031103</v>
      </c>
      <c r="AA52" s="193"/>
      <c r="AB52" s="274">
        <f>SUM(AB4:AB51)</f>
        <v>228638835.64222151</v>
      </c>
      <c r="AC52" s="194">
        <f>SUM(AC4:AC51)</f>
        <v>101369103.24031103</v>
      </c>
      <c r="AD52" s="193"/>
      <c r="AE52" s="274">
        <f>SUM(AE4:AE51)</f>
        <v>1143194178.2111075</v>
      </c>
      <c r="AF52" s="194">
        <f>SUM(AF4:AF51)</f>
        <v>506845516.20155507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1714791267.3166614</v>
      </c>
      <c r="H53" s="272"/>
      <c r="I53" s="255"/>
      <c r="J53" s="254"/>
      <c r="K53" s="259"/>
      <c r="L53" s="256"/>
      <c r="M53" s="253"/>
      <c r="N53" s="278">
        <f>+N52*20%</f>
        <v>457277671.28444302</v>
      </c>
      <c r="O53" s="272"/>
      <c r="P53" s="260"/>
      <c r="Q53" s="261"/>
      <c r="R53" s="262"/>
      <c r="S53" s="275">
        <f>+S52*12%</f>
        <v>109746641.10826632</v>
      </c>
      <c r="T53" s="272"/>
      <c r="U53" s="283"/>
      <c r="V53" s="275">
        <f>+V52*12%</f>
        <v>72144648.404266313</v>
      </c>
      <c r="W53" s="272"/>
      <c r="X53" s="283"/>
      <c r="Y53" s="275"/>
      <c r="Z53" s="284"/>
      <c r="AA53" s="283"/>
      <c r="AB53" s="275">
        <f>+AB52*12%</f>
        <v>27436660.277066581</v>
      </c>
      <c r="AC53" s="272"/>
      <c r="AD53" s="283"/>
      <c r="AE53" s="275">
        <f>+AE52*12%</f>
        <v>137183301.38533288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4001179623.7388768</v>
      </c>
      <c r="H54" s="273"/>
      <c r="I54" s="268"/>
      <c r="J54" s="267"/>
      <c r="K54" s="267"/>
      <c r="L54" s="269"/>
      <c r="M54" s="266"/>
      <c r="N54" s="279">
        <f>+N52-N53</f>
        <v>1829110685.1377721</v>
      </c>
      <c r="O54" s="273"/>
      <c r="P54" s="268"/>
      <c r="Q54" s="269"/>
      <c r="R54" s="266"/>
      <c r="S54" s="276">
        <f>+S52-S53</f>
        <v>804808701.46061969</v>
      </c>
      <c r="T54" s="273"/>
      <c r="U54" s="285"/>
      <c r="V54" s="276">
        <f>+V52-V53</f>
        <v>529060754.9646197</v>
      </c>
      <c r="W54" s="273"/>
      <c r="X54" s="285"/>
      <c r="Y54" s="276">
        <f>+Y52-Y53</f>
        <v>228638835.64222151</v>
      </c>
      <c r="Z54" s="286"/>
      <c r="AA54" s="285"/>
      <c r="AB54" s="276">
        <f>+AB52-AB53</f>
        <v>201202175.36515492</v>
      </c>
      <c r="AC54" s="273"/>
      <c r="AD54" s="285"/>
      <c r="AE54" s="276">
        <f>+AE52-AE53</f>
        <v>1006010876.8257747</v>
      </c>
      <c r="AF54" s="273"/>
    </row>
    <row r="55" spans="1:32" x14ac:dyDescent="0.25">
      <c r="A55" s="152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</row>
    <row r="56" spans="1:32" x14ac:dyDescent="0.25">
      <c r="F56" s="786" t="s">
        <v>161</v>
      </c>
      <c r="G56" s="787"/>
      <c r="H56" s="788"/>
      <c r="M56" s="786" t="s">
        <v>160</v>
      </c>
      <c r="N56" s="787"/>
      <c r="O56" s="788"/>
      <c r="R56" s="786" t="s">
        <v>159</v>
      </c>
      <c r="S56" s="787"/>
      <c r="T56" s="788"/>
    </row>
    <row r="57" spans="1:32" x14ac:dyDescent="0.25">
      <c r="F57" s="3" t="s">
        <v>155</v>
      </c>
      <c r="G57" s="3"/>
      <c r="H57" s="271">
        <f>+G52</f>
        <v>5715970891.0555382</v>
      </c>
      <c r="M57" s="3" t="s">
        <v>155</v>
      </c>
      <c r="N57" s="3"/>
      <c r="O57" s="271">
        <f>+N52</f>
        <v>2286388356.422215</v>
      </c>
      <c r="R57" s="3" t="s">
        <v>155</v>
      </c>
      <c r="S57" s="3"/>
      <c r="T57" s="271">
        <f>S52+V52+Y52+AB52+AE52</f>
        <v>3116232595.4333224</v>
      </c>
    </row>
    <row r="58" spans="1:32" x14ac:dyDescent="0.25">
      <c r="F58" s="3" t="s">
        <v>156</v>
      </c>
      <c r="G58" s="3"/>
      <c r="H58" s="271">
        <f>+G52-H52</f>
        <v>3181743310.0477629</v>
      </c>
      <c r="M58" s="3" t="s">
        <v>156</v>
      </c>
      <c r="N58" s="3"/>
      <c r="O58" s="271">
        <f>+N52-O52</f>
        <v>1272697324.019105</v>
      </c>
      <c r="R58" s="3" t="s">
        <v>156</v>
      </c>
      <c r="S58" s="3"/>
      <c r="T58" s="271">
        <f>T57-T59</f>
        <v>1738723246.8286572</v>
      </c>
    </row>
    <row r="59" spans="1:32" x14ac:dyDescent="0.25">
      <c r="F59" s="3" t="s">
        <v>157</v>
      </c>
      <c r="G59" s="3"/>
      <c r="H59" s="271">
        <f>+H52</f>
        <v>2534227581.0077753</v>
      </c>
      <c r="M59" s="3" t="s">
        <v>157</v>
      </c>
      <c r="N59" s="3"/>
      <c r="O59" s="271">
        <f>+O52</f>
        <v>1013691032.4031101</v>
      </c>
      <c r="R59" s="3" t="s">
        <v>157</v>
      </c>
      <c r="S59" s="3"/>
      <c r="T59" s="271">
        <f>T52+W52+Z52+AC52+AF52</f>
        <v>1377509348.6046653</v>
      </c>
    </row>
    <row r="60" spans="1:32" x14ac:dyDescent="0.25">
      <c r="F60" s="3" t="s">
        <v>147</v>
      </c>
      <c r="G60" s="3"/>
      <c r="H60" s="271">
        <f>+G53</f>
        <v>1714791267.3166614</v>
      </c>
      <c r="M60" s="3" t="s">
        <v>147</v>
      </c>
      <c r="N60" s="3"/>
      <c r="O60" s="271">
        <f>+N53</f>
        <v>457277671.28444302</v>
      </c>
      <c r="R60" s="3" t="s">
        <v>147</v>
      </c>
      <c r="S60" s="3"/>
      <c r="T60" s="271">
        <f>S53+V53+AB53+AE53</f>
        <v>346511251.17493212</v>
      </c>
    </row>
    <row r="61" spans="1:32" x14ac:dyDescent="0.25">
      <c r="F61" s="3" t="s">
        <v>158</v>
      </c>
      <c r="G61" s="3"/>
      <c r="H61" s="271">
        <f>+H59-H60</f>
        <v>819436313.69111395</v>
      </c>
      <c r="M61" s="3" t="s">
        <v>158</v>
      </c>
      <c r="N61" s="3"/>
      <c r="O61" s="271">
        <f>+O59-O60</f>
        <v>556413361.11866713</v>
      </c>
      <c r="R61" s="3" t="s">
        <v>158</v>
      </c>
      <c r="S61" s="3"/>
      <c r="T61" s="271">
        <f>+T59-T60</f>
        <v>1030998097.4297332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M43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774" t="s">
        <v>154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AF1" s="776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+pronostico!M3*50%</f>
        <v>85119.65617682632</v>
      </c>
      <c r="G4" s="137">
        <f>F4*D4</f>
        <v>417937511.82821721</v>
      </c>
      <c r="H4" s="138">
        <f>G4*E4</f>
        <v>167175004.73128688</v>
      </c>
      <c r="I4" s="137">
        <f>+F4*50%</f>
        <v>42559.82808841316</v>
      </c>
      <c r="J4" s="139">
        <f>+F4*30%</f>
        <v>25535.896853047896</v>
      </c>
      <c r="K4" s="167">
        <f t="shared" ref="K4:K51" si="0">+F4*10%</f>
        <v>8511.965617682632</v>
      </c>
      <c r="L4" s="168">
        <f t="shared" ref="L4:L18" si="1">+F4*10%</f>
        <v>8511.965617682632</v>
      </c>
      <c r="M4" s="169">
        <f>+pronostico!M3*20%</f>
        <v>34047.862470730528</v>
      </c>
      <c r="N4" s="170">
        <f t="shared" ref="N4:N51" si="2">M4*D4</f>
        <v>167175004.73128688</v>
      </c>
      <c r="O4" s="171">
        <f t="shared" ref="O4:O51" si="3">N4*E4</f>
        <v>66870001.892514758</v>
      </c>
      <c r="P4" s="170">
        <f>+M4*50%</f>
        <v>17023.931235365264</v>
      </c>
      <c r="Q4" s="172">
        <f>+M4*50%</f>
        <v>17023.931235365264</v>
      </c>
      <c r="R4" s="173">
        <f>+pronostico!M3*8%</f>
        <v>13619.144988292212</v>
      </c>
      <c r="S4" s="174">
        <f t="shared" ref="S4:S51" si="4">R4*D4</f>
        <v>66870001.892514758</v>
      </c>
      <c r="T4" s="175">
        <f t="shared" ref="T4:T51" si="5">S4*E4</f>
        <v>26748000.757005904</v>
      </c>
      <c r="U4" s="173">
        <f>+pronostico!M3*8%</f>
        <v>13619.144988292212</v>
      </c>
      <c r="V4" s="176">
        <f t="shared" ref="V4:V35" si="6">U4*D4</f>
        <v>66870001.892514758</v>
      </c>
      <c r="W4" s="177">
        <f t="shared" ref="W4:W35" si="7">V4*E4</f>
        <v>26748000.757005904</v>
      </c>
      <c r="X4" s="173">
        <f>+pronostico!M3*2%</f>
        <v>3404.7862470730529</v>
      </c>
      <c r="Y4" s="178">
        <f t="shared" ref="Y4:Y51" si="8">X4*D4</f>
        <v>16717500.473128689</v>
      </c>
      <c r="Z4" s="178">
        <f t="shared" ref="Z4:Z51" si="9">Y4*E4</f>
        <v>6687000.189251476</v>
      </c>
      <c r="AA4" s="173">
        <f>+pronostico!M3*2%</f>
        <v>3404.7862470730529</v>
      </c>
      <c r="AB4" s="176">
        <f t="shared" ref="AB4:AB51" si="10">AA4*D4</f>
        <v>16717500.473128689</v>
      </c>
      <c r="AC4" s="177">
        <f t="shared" ref="AC4:AC51" si="11">AB4*E4</f>
        <v>6687000.189251476</v>
      </c>
      <c r="AD4" s="173">
        <f>+pronostico!M3*10%</f>
        <v>17023.931235365264</v>
      </c>
      <c r="AE4" s="176">
        <f>+AD4*D4</f>
        <v>83587502.365643442</v>
      </c>
      <c r="AF4" s="177">
        <f>+AE4*E4</f>
        <v>33435000.946257379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+pronostico!M4*50%</f>
        <v>59410.594986323871</v>
      </c>
      <c r="G5" s="137">
        <f t="shared" ref="G5:H51" si="13">F5*D5</f>
        <v>291706021.38285023</v>
      </c>
      <c r="H5" s="138">
        <f t="shared" si="13"/>
        <v>116682408.5531401</v>
      </c>
      <c r="I5" s="137">
        <f t="shared" ref="I5:I20" si="14">+F5*50%</f>
        <v>29705.297493161936</v>
      </c>
      <c r="J5" s="139">
        <f t="shared" ref="J5:J51" si="15">+F5*30%</f>
        <v>17823.178495897162</v>
      </c>
      <c r="K5" s="167">
        <f t="shared" si="0"/>
        <v>5941.0594986323877</v>
      </c>
      <c r="L5" s="168">
        <f t="shared" si="1"/>
        <v>5941.0594986323877</v>
      </c>
      <c r="M5" s="169">
        <f>+pronostico!M4*20%</f>
        <v>23764.237994529551</v>
      </c>
      <c r="N5" s="170">
        <f t="shared" si="2"/>
        <v>116682408.55314009</v>
      </c>
      <c r="O5" s="171">
        <f t="shared" si="3"/>
        <v>46672963.421256036</v>
      </c>
      <c r="P5" s="170">
        <f t="shared" ref="P5:P51" si="16">+M5*50%</f>
        <v>11882.118997264775</v>
      </c>
      <c r="Q5" s="172">
        <f t="shared" ref="Q5:Q51" si="17">+M5*50%</f>
        <v>11882.118997264775</v>
      </c>
      <c r="R5" s="173">
        <f>+pronostico!M4*8%</f>
        <v>9505.6951978118195</v>
      </c>
      <c r="S5" s="174">
        <f t="shared" si="4"/>
        <v>46672963.421256036</v>
      </c>
      <c r="T5" s="175">
        <f t="shared" si="5"/>
        <v>18669185.368502416</v>
      </c>
      <c r="U5" s="173">
        <f>+pronostico!M4*8%</f>
        <v>9505.6951978118195</v>
      </c>
      <c r="V5" s="176">
        <f t="shared" si="6"/>
        <v>46672963.421256036</v>
      </c>
      <c r="W5" s="177">
        <f t="shared" si="7"/>
        <v>18669185.368502416</v>
      </c>
      <c r="X5" s="173">
        <f>+pronostico!M4*2%</f>
        <v>2376.4237994529549</v>
      </c>
      <c r="Y5" s="178">
        <f t="shared" si="8"/>
        <v>11668240.855314009</v>
      </c>
      <c r="Z5" s="178">
        <f t="shared" si="9"/>
        <v>4667296.3421256039</v>
      </c>
      <c r="AA5" s="173">
        <f>+pronostico!M4*2%</f>
        <v>2376.4237994529549</v>
      </c>
      <c r="AB5" s="179">
        <f t="shared" si="10"/>
        <v>11668240.855314009</v>
      </c>
      <c r="AC5" s="180">
        <f t="shared" si="11"/>
        <v>4667296.3421256039</v>
      </c>
      <c r="AD5" s="173">
        <f>+pronostico!M4*10%</f>
        <v>11882.118997264775</v>
      </c>
      <c r="AE5" s="176">
        <f t="shared" ref="AE5:AF20" si="18">+AD5*D5</f>
        <v>58341204.276570044</v>
      </c>
      <c r="AF5" s="177">
        <f t="shared" si="18"/>
        <v>23336481.710628018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+pronostico!M5*50%</f>
        <v>17896.286460944615</v>
      </c>
      <c r="G6" s="137">
        <f t="shared" si="13"/>
        <v>107377718.76566769</v>
      </c>
      <c r="H6" s="138">
        <f t="shared" si="13"/>
        <v>42951087.506267078</v>
      </c>
      <c r="I6" s="137">
        <f t="shared" si="14"/>
        <v>8948.1432304723076</v>
      </c>
      <c r="J6" s="139">
        <f t="shared" si="15"/>
        <v>5368.8859382833843</v>
      </c>
      <c r="K6" s="167">
        <f t="shared" si="0"/>
        <v>1789.6286460944616</v>
      </c>
      <c r="L6" s="168">
        <f t="shared" si="1"/>
        <v>1789.6286460944616</v>
      </c>
      <c r="M6" s="169">
        <f>+pronostico!M5*20%</f>
        <v>7158.5145843778464</v>
      </c>
      <c r="N6" s="170">
        <f t="shared" si="2"/>
        <v>42951087.506267078</v>
      </c>
      <c r="O6" s="171">
        <f t="shared" si="3"/>
        <v>17180435.002506834</v>
      </c>
      <c r="P6" s="170">
        <f t="shared" si="16"/>
        <v>3579.2572921889232</v>
      </c>
      <c r="Q6" s="172">
        <f t="shared" si="17"/>
        <v>3579.2572921889232</v>
      </c>
      <c r="R6" s="173">
        <f>+pronostico!M5*8%</f>
        <v>2863.4058337511383</v>
      </c>
      <c r="S6" s="174">
        <f t="shared" si="4"/>
        <v>17180435.00250683</v>
      </c>
      <c r="T6" s="175">
        <f t="shared" si="5"/>
        <v>6872174.0010027327</v>
      </c>
      <c r="U6" s="173">
        <f>+pronostico!M5*8%</f>
        <v>2863.4058337511383</v>
      </c>
      <c r="V6" s="176">
        <f t="shared" si="6"/>
        <v>17180435.00250683</v>
      </c>
      <c r="W6" s="177">
        <f t="shared" si="7"/>
        <v>6872174.0010027327</v>
      </c>
      <c r="X6" s="173">
        <f>+pronostico!M5*2%</f>
        <v>715.85145843778457</v>
      </c>
      <c r="Y6" s="178">
        <f t="shared" si="8"/>
        <v>4295108.7506267074</v>
      </c>
      <c r="Z6" s="178">
        <f t="shared" si="9"/>
        <v>1718043.5002506832</v>
      </c>
      <c r="AA6" s="173">
        <f>+pronostico!M5*2%</f>
        <v>715.85145843778457</v>
      </c>
      <c r="AB6" s="179">
        <f t="shared" si="10"/>
        <v>4295108.7506267074</v>
      </c>
      <c r="AC6" s="180">
        <f t="shared" si="11"/>
        <v>1718043.5002506832</v>
      </c>
      <c r="AD6" s="173">
        <f>+pronostico!M5*10%</f>
        <v>3579.2572921889232</v>
      </c>
      <c r="AE6" s="176">
        <f t="shared" si="18"/>
        <v>21475543.753133539</v>
      </c>
      <c r="AF6" s="177">
        <f t="shared" si="18"/>
        <v>8590217.5012534168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+pronostico!M6*50%</f>
        <v>33501.848254888311</v>
      </c>
      <c r="G7" s="137">
        <f t="shared" si="13"/>
        <v>171864481.54757702</v>
      </c>
      <c r="H7" s="138">
        <f t="shared" si="13"/>
        <v>68745792.619030818</v>
      </c>
      <c r="I7" s="137">
        <f t="shared" si="14"/>
        <v>16750.924127444156</v>
      </c>
      <c r="J7" s="139">
        <f t="shared" si="15"/>
        <v>10050.554476466494</v>
      </c>
      <c r="K7" s="167">
        <f t="shared" si="0"/>
        <v>3350.1848254888314</v>
      </c>
      <c r="L7" s="168">
        <f t="shared" si="1"/>
        <v>3350.1848254888314</v>
      </c>
      <c r="M7" s="169">
        <f>+pronostico!M6*20%</f>
        <v>13400.739301955326</v>
      </c>
      <c r="N7" s="170">
        <f t="shared" si="2"/>
        <v>68745792.619030818</v>
      </c>
      <c r="O7" s="171">
        <f t="shared" si="3"/>
        <v>27498317.047612328</v>
      </c>
      <c r="P7" s="170">
        <f t="shared" si="16"/>
        <v>6700.3696509776628</v>
      </c>
      <c r="Q7" s="172">
        <f t="shared" si="17"/>
        <v>6700.3696509776628</v>
      </c>
      <c r="R7" s="173">
        <f>+pronostico!M6*8%</f>
        <v>5360.29572078213</v>
      </c>
      <c r="S7" s="174">
        <f t="shared" si="4"/>
        <v>27498317.047612328</v>
      </c>
      <c r="T7" s="175">
        <f t="shared" si="5"/>
        <v>10999326.819044933</v>
      </c>
      <c r="U7" s="173">
        <f>+pronostico!M6*8%</f>
        <v>5360.29572078213</v>
      </c>
      <c r="V7" s="176">
        <f t="shared" si="6"/>
        <v>27498317.047612328</v>
      </c>
      <c r="W7" s="177">
        <f t="shared" si="7"/>
        <v>10999326.819044933</v>
      </c>
      <c r="X7" s="173">
        <f>+pronostico!M6*2%</f>
        <v>1340.0739301955325</v>
      </c>
      <c r="Y7" s="178">
        <f t="shared" si="8"/>
        <v>6874579.261903082</v>
      </c>
      <c r="Z7" s="178">
        <f t="shared" si="9"/>
        <v>2749831.7047612332</v>
      </c>
      <c r="AA7" s="173">
        <f>+pronostico!M6*2%</f>
        <v>1340.0739301955325</v>
      </c>
      <c r="AB7" s="179">
        <f t="shared" si="10"/>
        <v>6874579.261903082</v>
      </c>
      <c r="AC7" s="180">
        <f t="shared" si="11"/>
        <v>2749831.7047612332</v>
      </c>
      <c r="AD7" s="173">
        <f>+pronostico!M6*10%</f>
        <v>6700.3696509776628</v>
      </c>
      <c r="AE7" s="176">
        <f t="shared" si="18"/>
        <v>34372896.309515409</v>
      </c>
      <c r="AF7" s="177">
        <f t="shared" si="18"/>
        <v>13749158.523806164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+pronostico!M7*50%</f>
        <v>24901.11122646221</v>
      </c>
      <c r="G8" s="137">
        <f t="shared" si="13"/>
        <v>212904500.98625189</v>
      </c>
      <c r="H8" s="138">
        <f t="shared" si="13"/>
        <v>85161800.394500762</v>
      </c>
      <c r="I8" s="137">
        <f t="shared" si="14"/>
        <v>12450.555613231105</v>
      </c>
      <c r="J8" s="139">
        <f t="shared" si="15"/>
        <v>7470.3333679386624</v>
      </c>
      <c r="K8" s="167">
        <f t="shared" si="0"/>
        <v>2490.1111226462212</v>
      </c>
      <c r="L8" s="168">
        <f t="shared" si="1"/>
        <v>2490.1111226462212</v>
      </c>
      <c r="M8" s="169">
        <f>+pronostico!M7*20%</f>
        <v>9960.444490584885</v>
      </c>
      <c r="N8" s="170">
        <f t="shared" si="2"/>
        <v>85161800.394500762</v>
      </c>
      <c r="O8" s="171">
        <f t="shared" si="3"/>
        <v>34064720.157800309</v>
      </c>
      <c r="P8" s="170">
        <f t="shared" si="16"/>
        <v>4980.2222452924425</v>
      </c>
      <c r="Q8" s="172">
        <f t="shared" si="17"/>
        <v>4980.2222452924425</v>
      </c>
      <c r="R8" s="173">
        <f>+pronostico!M7*8%</f>
        <v>3984.1777962339538</v>
      </c>
      <c r="S8" s="174">
        <f t="shared" si="4"/>
        <v>34064720.157800302</v>
      </c>
      <c r="T8" s="175">
        <f t="shared" si="5"/>
        <v>13625888.063120121</v>
      </c>
      <c r="U8" s="173">
        <f>+pronostico!M7*8%</f>
        <v>3984.1777962339538</v>
      </c>
      <c r="V8" s="176">
        <f t="shared" si="6"/>
        <v>34064720.157800302</v>
      </c>
      <c r="W8" s="177">
        <f t="shared" si="7"/>
        <v>13625888.063120121</v>
      </c>
      <c r="X8" s="173">
        <f>+pronostico!M7*2%</f>
        <v>996.04444905848845</v>
      </c>
      <c r="Y8" s="178">
        <f t="shared" si="8"/>
        <v>8516180.0394500755</v>
      </c>
      <c r="Z8" s="178">
        <f t="shared" si="9"/>
        <v>3406472.0157800303</v>
      </c>
      <c r="AA8" s="173">
        <f>+pronostico!M7*2%</f>
        <v>996.04444905848845</v>
      </c>
      <c r="AB8" s="179">
        <f t="shared" si="10"/>
        <v>8516180.0394500755</v>
      </c>
      <c r="AC8" s="180">
        <f t="shared" si="11"/>
        <v>3406472.0157800303</v>
      </c>
      <c r="AD8" s="173">
        <f>+pronostico!M7*10%</f>
        <v>4980.2222452924425</v>
      </c>
      <c r="AE8" s="176">
        <f t="shared" si="18"/>
        <v>42580900.197250381</v>
      </c>
      <c r="AF8" s="177">
        <f t="shared" si="18"/>
        <v>17032360.078900155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+pronostico!M8*50%</f>
        <v>27598.533759575035</v>
      </c>
      <c r="G9" s="137">
        <f t="shared" si="13"/>
        <v>278745190.97170788</v>
      </c>
      <c r="H9" s="138">
        <f t="shared" si="13"/>
        <v>111498076.38868316</v>
      </c>
      <c r="I9" s="137">
        <f t="shared" si="14"/>
        <v>13799.266879787518</v>
      </c>
      <c r="J9" s="139">
        <f t="shared" si="15"/>
        <v>8279.5601278725098</v>
      </c>
      <c r="K9" s="167">
        <f t="shared" si="0"/>
        <v>2759.8533759575039</v>
      </c>
      <c r="L9" s="168">
        <f t="shared" si="1"/>
        <v>2759.8533759575039</v>
      </c>
      <c r="M9" s="169">
        <f>+pronostico!M8*20%</f>
        <v>11039.413503830016</v>
      </c>
      <c r="N9" s="170">
        <f t="shared" si="2"/>
        <v>111498076.38868316</v>
      </c>
      <c r="O9" s="171">
        <f t="shared" si="3"/>
        <v>44599230.555473268</v>
      </c>
      <c r="P9" s="170">
        <f t="shared" si="16"/>
        <v>5519.7067519150078</v>
      </c>
      <c r="Q9" s="172">
        <f t="shared" si="17"/>
        <v>5519.7067519150078</v>
      </c>
      <c r="R9" s="173">
        <f>+pronostico!M8*8%</f>
        <v>4415.7654015320059</v>
      </c>
      <c r="S9" s="174">
        <f t="shared" si="4"/>
        <v>44599230.555473261</v>
      </c>
      <c r="T9" s="175">
        <f t="shared" si="5"/>
        <v>17839692.222189303</v>
      </c>
      <c r="U9" s="173">
        <f>+pronostico!M8*8%</f>
        <v>4415.7654015320059</v>
      </c>
      <c r="V9" s="176">
        <f t="shared" si="6"/>
        <v>44599230.555473261</v>
      </c>
      <c r="W9" s="177">
        <f t="shared" si="7"/>
        <v>17839692.222189303</v>
      </c>
      <c r="X9" s="173">
        <f>+pronostico!M8*2%</f>
        <v>1103.9413503830015</v>
      </c>
      <c r="Y9" s="178">
        <f t="shared" si="8"/>
        <v>11149807.638868315</v>
      </c>
      <c r="Z9" s="178">
        <f t="shared" si="9"/>
        <v>4459923.0555473259</v>
      </c>
      <c r="AA9" s="173">
        <f>+pronostico!M8*2%</f>
        <v>1103.9413503830015</v>
      </c>
      <c r="AB9" s="179">
        <f t="shared" si="10"/>
        <v>11149807.638868315</v>
      </c>
      <c r="AC9" s="180">
        <f t="shared" si="11"/>
        <v>4459923.0555473259</v>
      </c>
      <c r="AD9" s="173">
        <f>+pronostico!M8*10%</f>
        <v>5519.7067519150078</v>
      </c>
      <c r="AE9" s="176">
        <f t="shared" si="18"/>
        <v>55749038.194341578</v>
      </c>
      <c r="AF9" s="177">
        <f t="shared" si="18"/>
        <v>22299615.277736634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+pronostico!M9*50%</f>
        <v>33691.89281835431</v>
      </c>
      <c r="G10" s="137">
        <f t="shared" si="13"/>
        <v>78839029.19494909</v>
      </c>
      <c r="H10" s="138">
        <f t="shared" si="13"/>
        <v>39419514.597474545</v>
      </c>
      <c r="I10" s="137">
        <f t="shared" si="14"/>
        <v>16845.946409177155</v>
      </c>
      <c r="J10" s="139">
        <f t="shared" si="15"/>
        <v>10107.567845506293</v>
      </c>
      <c r="K10" s="167">
        <f t="shared" si="0"/>
        <v>3369.1892818354313</v>
      </c>
      <c r="L10" s="168">
        <f t="shared" si="1"/>
        <v>3369.1892818354313</v>
      </c>
      <c r="M10" s="169">
        <f>+pronostico!M9*20%</f>
        <v>13476.757127341725</v>
      </c>
      <c r="N10" s="170">
        <f t="shared" si="2"/>
        <v>31535611.677979637</v>
      </c>
      <c r="O10" s="171">
        <f t="shared" si="3"/>
        <v>15767805.838989818</v>
      </c>
      <c r="P10" s="170">
        <f t="shared" si="16"/>
        <v>6738.3785636708626</v>
      </c>
      <c r="Q10" s="172">
        <f t="shared" si="17"/>
        <v>6738.3785636708626</v>
      </c>
      <c r="R10" s="173">
        <f>+pronostico!M9*8%</f>
        <v>5390.7028509366901</v>
      </c>
      <c r="S10" s="174">
        <f t="shared" si="4"/>
        <v>12614244.671191854</v>
      </c>
      <c r="T10" s="175">
        <f t="shared" si="5"/>
        <v>6307122.3355959272</v>
      </c>
      <c r="U10" s="173">
        <f>+pronostico!M9*8%</f>
        <v>5390.7028509366901</v>
      </c>
      <c r="V10" s="176">
        <f t="shared" si="6"/>
        <v>12614244.671191854</v>
      </c>
      <c r="W10" s="177">
        <f t="shared" si="7"/>
        <v>6307122.3355959272</v>
      </c>
      <c r="X10" s="173">
        <f>+pronostico!M9*2%</f>
        <v>1347.6757127341725</v>
      </c>
      <c r="Y10" s="178">
        <f t="shared" si="8"/>
        <v>3153561.1677979636</v>
      </c>
      <c r="Z10" s="178">
        <f t="shared" si="9"/>
        <v>1576780.5838989818</v>
      </c>
      <c r="AA10" s="173">
        <f>+pronostico!M9*2%</f>
        <v>1347.6757127341725</v>
      </c>
      <c r="AB10" s="179">
        <f t="shared" si="10"/>
        <v>3153561.1677979636</v>
      </c>
      <c r="AC10" s="180">
        <f t="shared" si="11"/>
        <v>1576780.5838989818</v>
      </c>
      <c r="AD10" s="173">
        <f>+pronostico!M9*10%</f>
        <v>6738.3785636708626</v>
      </c>
      <c r="AE10" s="176">
        <f t="shared" si="18"/>
        <v>15767805.838989818</v>
      </c>
      <c r="AF10" s="177">
        <f t="shared" si="18"/>
        <v>7883902.9194949092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+pronostico!M10*50%</f>
        <v>14238.438166688176</v>
      </c>
      <c r="G11" s="137">
        <f t="shared" si="13"/>
        <v>33317945.310050331</v>
      </c>
      <c r="H11" s="138">
        <f t="shared" si="13"/>
        <v>16658972.655025166</v>
      </c>
      <c r="I11" s="137">
        <f t="shared" si="14"/>
        <v>7119.2190833440882</v>
      </c>
      <c r="J11" s="139">
        <f t="shared" si="15"/>
        <v>4271.5314500064524</v>
      </c>
      <c r="K11" s="167">
        <f t="shared" si="0"/>
        <v>1423.8438166688177</v>
      </c>
      <c r="L11" s="168">
        <f t="shared" si="1"/>
        <v>1423.8438166688177</v>
      </c>
      <c r="M11" s="169">
        <f>+pronostico!M10*20%</f>
        <v>5695.3752666752707</v>
      </c>
      <c r="N11" s="170">
        <f t="shared" si="2"/>
        <v>13327178.124020133</v>
      </c>
      <c r="O11" s="171">
        <f t="shared" si="3"/>
        <v>6663589.0620100666</v>
      </c>
      <c r="P11" s="170">
        <f t="shared" si="16"/>
        <v>2847.6876333376354</v>
      </c>
      <c r="Q11" s="172">
        <f t="shared" si="17"/>
        <v>2847.6876333376354</v>
      </c>
      <c r="R11" s="173">
        <f>+pronostico!M10*8%</f>
        <v>2278.1501066701085</v>
      </c>
      <c r="S11" s="174">
        <f t="shared" si="4"/>
        <v>5330871.2496080538</v>
      </c>
      <c r="T11" s="175">
        <f t="shared" si="5"/>
        <v>2665435.6248040269</v>
      </c>
      <c r="U11" s="173">
        <f>+pronostico!M10*8%</f>
        <v>2278.1501066701085</v>
      </c>
      <c r="V11" s="176">
        <f t="shared" si="6"/>
        <v>5330871.2496080538</v>
      </c>
      <c r="W11" s="177">
        <f t="shared" si="7"/>
        <v>2665435.6248040269</v>
      </c>
      <c r="X11" s="173">
        <f>+pronostico!M10*2%</f>
        <v>569.53752666752712</v>
      </c>
      <c r="Y11" s="178">
        <f t="shared" si="8"/>
        <v>1332717.8124020135</v>
      </c>
      <c r="Z11" s="178">
        <f t="shared" si="9"/>
        <v>666358.90620100673</v>
      </c>
      <c r="AA11" s="173">
        <f>+pronostico!M10*2%</f>
        <v>569.53752666752712</v>
      </c>
      <c r="AB11" s="179">
        <f t="shared" si="10"/>
        <v>1332717.8124020135</v>
      </c>
      <c r="AC11" s="180">
        <f t="shared" si="11"/>
        <v>666358.90620100673</v>
      </c>
      <c r="AD11" s="173">
        <f>+pronostico!M10*10%</f>
        <v>2847.6876333376354</v>
      </c>
      <c r="AE11" s="176">
        <f t="shared" si="18"/>
        <v>6663589.0620100666</v>
      </c>
      <c r="AF11" s="177">
        <f t="shared" si="18"/>
        <v>3331794.5310050333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+pronostico!M11*50%</f>
        <v>56453.289156809064</v>
      </c>
      <c r="G12" s="137">
        <f t="shared" si="13"/>
        <v>126455367.7112523</v>
      </c>
      <c r="H12" s="138">
        <f t="shared" si="13"/>
        <v>63227683.855626151</v>
      </c>
      <c r="I12" s="137">
        <f t="shared" si="14"/>
        <v>28226.644578404532</v>
      </c>
      <c r="J12" s="139">
        <f t="shared" si="15"/>
        <v>16935.98674704272</v>
      </c>
      <c r="K12" s="167">
        <f t="shared" si="0"/>
        <v>5645.3289156809069</v>
      </c>
      <c r="L12" s="168">
        <f t="shared" si="1"/>
        <v>5645.3289156809069</v>
      </c>
      <c r="M12" s="169">
        <f>+pronostico!M11*20%</f>
        <v>22581.315662723628</v>
      </c>
      <c r="N12" s="170">
        <f t="shared" si="2"/>
        <v>50582147.084500924</v>
      </c>
      <c r="O12" s="171">
        <f t="shared" si="3"/>
        <v>25291073.542250462</v>
      </c>
      <c r="P12" s="170">
        <f t="shared" si="16"/>
        <v>11290.657831361814</v>
      </c>
      <c r="Q12" s="172">
        <f t="shared" si="17"/>
        <v>11290.657831361814</v>
      </c>
      <c r="R12" s="173">
        <f>+pronostico!M11*8%</f>
        <v>9032.526265089451</v>
      </c>
      <c r="S12" s="174">
        <f t="shared" si="4"/>
        <v>20232858.833800372</v>
      </c>
      <c r="T12" s="175">
        <f t="shared" si="5"/>
        <v>10116429.416900186</v>
      </c>
      <c r="U12" s="173">
        <f>+pronostico!M11*8%</f>
        <v>9032.526265089451</v>
      </c>
      <c r="V12" s="176">
        <f t="shared" si="6"/>
        <v>20232858.833800372</v>
      </c>
      <c r="W12" s="177">
        <f t="shared" si="7"/>
        <v>10116429.416900186</v>
      </c>
      <c r="X12" s="173">
        <f>+pronostico!M11*2%</f>
        <v>2258.1315662723628</v>
      </c>
      <c r="Y12" s="178">
        <f t="shared" si="8"/>
        <v>5058214.7084500929</v>
      </c>
      <c r="Z12" s="178">
        <f t="shared" si="9"/>
        <v>2529107.3542250465</v>
      </c>
      <c r="AA12" s="173">
        <f>+pronostico!M11*2%</f>
        <v>2258.1315662723628</v>
      </c>
      <c r="AB12" s="179">
        <f t="shared" si="10"/>
        <v>5058214.7084500929</v>
      </c>
      <c r="AC12" s="180">
        <f t="shared" si="11"/>
        <v>2529107.3542250465</v>
      </c>
      <c r="AD12" s="173">
        <f>+pronostico!M11*10%</f>
        <v>11290.657831361814</v>
      </c>
      <c r="AE12" s="176">
        <f t="shared" si="18"/>
        <v>25291073.542250462</v>
      </c>
      <c r="AF12" s="177">
        <f t="shared" si="18"/>
        <v>12645536.771125231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+pronostico!M12*50%</f>
        <v>46169.015336260629</v>
      </c>
      <c r="G13" s="137">
        <f t="shared" si="13"/>
        <v>106188735.27339944</v>
      </c>
      <c r="H13" s="138">
        <f t="shared" si="13"/>
        <v>53094367.636699721</v>
      </c>
      <c r="I13" s="137">
        <f t="shared" si="14"/>
        <v>23084.507668130314</v>
      </c>
      <c r="J13" s="139">
        <f t="shared" si="15"/>
        <v>13850.704600878189</v>
      </c>
      <c r="K13" s="167">
        <f t="shared" si="0"/>
        <v>4616.9015336260627</v>
      </c>
      <c r="L13" s="168">
        <f t="shared" si="1"/>
        <v>4616.9015336260627</v>
      </c>
      <c r="M13" s="169">
        <f>+pronostico!M12*20%</f>
        <v>18467.606134504251</v>
      </c>
      <c r="N13" s="170">
        <f t="shared" si="2"/>
        <v>42475494.109359778</v>
      </c>
      <c r="O13" s="171">
        <f t="shared" si="3"/>
        <v>21237747.054679889</v>
      </c>
      <c r="P13" s="170">
        <f t="shared" si="16"/>
        <v>9233.8030672521254</v>
      </c>
      <c r="Q13" s="172">
        <f t="shared" si="17"/>
        <v>9233.8030672521254</v>
      </c>
      <c r="R13" s="173">
        <f>+pronostico!M12*8%</f>
        <v>7387.0424538017005</v>
      </c>
      <c r="S13" s="174">
        <f t="shared" si="4"/>
        <v>16990197.64374391</v>
      </c>
      <c r="T13" s="175">
        <f t="shared" si="5"/>
        <v>8495098.8218719549</v>
      </c>
      <c r="U13" s="173">
        <f>+pronostico!M12*8%</f>
        <v>7387.0424538017005</v>
      </c>
      <c r="V13" s="176">
        <f t="shared" si="6"/>
        <v>16990197.64374391</v>
      </c>
      <c r="W13" s="177">
        <f t="shared" si="7"/>
        <v>8495098.8218719549</v>
      </c>
      <c r="X13" s="173">
        <f>+pronostico!M12*2%</f>
        <v>1846.7606134504251</v>
      </c>
      <c r="Y13" s="178">
        <f t="shared" si="8"/>
        <v>4247549.4109359775</v>
      </c>
      <c r="Z13" s="178">
        <f t="shared" si="9"/>
        <v>2123774.7054679887</v>
      </c>
      <c r="AA13" s="173">
        <f>+pronostico!M12*2%</f>
        <v>1846.7606134504251</v>
      </c>
      <c r="AB13" s="179">
        <f t="shared" si="10"/>
        <v>4247549.4109359775</v>
      </c>
      <c r="AC13" s="180">
        <f t="shared" si="11"/>
        <v>2123774.7054679887</v>
      </c>
      <c r="AD13" s="173">
        <f>+pronostico!M12*10%</f>
        <v>9233.8030672521254</v>
      </c>
      <c r="AE13" s="176">
        <f t="shared" si="18"/>
        <v>21237747.054679889</v>
      </c>
      <c r="AF13" s="177">
        <f t="shared" si="18"/>
        <v>10618873.527339945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+pronostico!M13*50%</f>
        <v>29798.042557617726</v>
      </c>
      <c r="G14" s="137">
        <f t="shared" si="13"/>
        <v>37545533.622598335</v>
      </c>
      <c r="H14" s="138">
        <f t="shared" si="13"/>
        <v>18772766.811299168</v>
      </c>
      <c r="I14" s="137">
        <f t="shared" si="14"/>
        <v>14899.021278808863</v>
      </c>
      <c r="J14" s="139">
        <f t="shared" si="15"/>
        <v>8939.4127672853174</v>
      </c>
      <c r="K14" s="167">
        <f t="shared" si="0"/>
        <v>2979.8042557617728</v>
      </c>
      <c r="L14" s="168">
        <f t="shared" si="1"/>
        <v>2979.8042557617728</v>
      </c>
      <c r="M14" s="169">
        <f>+pronostico!M13*20%</f>
        <v>11919.217023047091</v>
      </c>
      <c r="N14" s="170">
        <f t="shared" si="2"/>
        <v>15018213.449039334</v>
      </c>
      <c r="O14" s="171">
        <f t="shared" si="3"/>
        <v>7509106.7245196672</v>
      </c>
      <c r="P14" s="170">
        <f t="shared" si="16"/>
        <v>5959.6085115235455</v>
      </c>
      <c r="Q14" s="172">
        <f t="shared" si="17"/>
        <v>5959.6085115235455</v>
      </c>
      <c r="R14" s="173">
        <f>+pronostico!M13*8%</f>
        <v>4767.6868092188361</v>
      </c>
      <c r="S14" s="174">
        <f t="shared" si="4"/>
        <v>6007285.3796157334</v>
      </c>
      <c r="T14" s="175">
        <f t="shared" si="5"/>
        <v>3003642.6898078667</v>
      </c>
      <c r="U14" s="173">
        <f>+pronostico!M13*8%</f>
        <v>4767.6868092188361</v>
      </c>
      <c r="V14" s="176">
        <f t="shared" si="6"/>
        <v>6007285.3796157334</v>
      </c>
      <c r="W14" s="177">
        <f t="shared" si="7"/>
        <v>3003642.6898078667</v>
      </c>
      <c r="X14" s="173">
        <f>+pronostico!M13*2%</f>
        <v>1191.921702304709</v>
      </c>
      <c r="Y14" s="178">
        <f t="shared" si="8"/>
        <v>1501821.3449039333</v>
      </c>
      <c r="Z14" s="178">
        <f t="shared" si="9"/>
        <v>750910.67245196667</v>
      </c>
      <c r="AA14" s="173">
        <f>+pronostico!M13*2%</f>
        <v>1191.921702304709</v>
      </c>
      <c r="AB14" s="179">
        <f t="shared" si="10"/>
        <v>1501821.3449039333</v>
      </c>
      <c r="AC14" s="180">
        <f t="shared" si="11"/>
        <v>750910.67245196667</v>
      </c>
      <c r="AD14" s="173">
        <f>+pronostico!M13*10%</f>
        <v>5959.6085115235455</v>
      </c>
      <c r="AE14" s="176">
        <f t="shared" si="18"/>
        <v>7509106.7245196672</v>
      </c>
      <c r="AF14" s="177">
        <f t="shared" si="18"/>
        <v>3754553.3622598336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+pronostico!M14*50%</f>
        <v>23378.897968097157</v>
      </c>
      <c r="G15" s="137">
        <f t="shared" si="13"/>
        <v>29457411.439802419</v>
      </c>
      <c r="H15" s="138">
        <f t="shared" si="13"/>
        <v>14728705.71990121</v>
      </c>
      <c r="I15" s="137">
        <f t="shared" si="14"/>
        <v>11689.448984048578</v>
      </c>
      <c r="J15" s="139">
        <f t="shared" si="15"/>
        <v>7013.6693904291469</v>
      </c>
      <c r="K15" s="167">
        <f t="shared" si="0"/>
        <v>2337.8897968097158</v>
      </c>
      <c r="L15" s="168">
        <f t="shared" si="1"/>
        <v>2337.8897968097158</v>
      </c>
      <c r="M15" s="169">
        <f>+pronostico!M14*20%</f>
        <v>9351.5591872388632</v>
      </c>
      <c r="N15" s="170">
        <f t="shared" si="2"/>
        <v>11782964.575920967</v>
      </c>
      <c r="O15" s="171">
        <f t="shared" si="3"/>
        <v>5891482.2879604837</v>
      </c>
      <c r="P15" s="170">
        <f t="shared" si="16"/>
        <v>4675.7795936194316</v>
      </c>
      <c r="Q15" s="172">
        <f t="shared" si="17"/>
        <v>4675.7795936194316</v>
      </c>
      <c r="R15" s="173">
        <f>+pronostico!M14*8%</f>
        <v>3740.6236748955453</v>
      </c>
      <c r="S15" s="174">
        <f t="shared" si="4"/>
        <v>4713185.8303683866</v>
      </c>
      <c r="T15" s="175">
        <f t="shared" si="5"/>
        <v>2356592.9151841933</v>
      </c>
      <c r="U15" s="173">
        <f>+pronostico!M14*8%</f>
        <v>3740.6236748955453</v>
      </c>
      <c r="V15" s="176">
        <f t="shared" si="6"/>
        <v>4713185.8303683866</v>
      </c>
      <c r="W15" s="177">
        <f t="shared" si="7"/>
        <v>2356592.9151841933</v>
      </c>
      <c r="X15" s="173">
        <f>+pronostico!M14*2%</f>
        <v>935.15591872388632</v>
      </c>
      <c r="Y15" s="178">
        <f t="shared" si="8"/>
        <v>1178296.4575920966</v>
      </c>
      <c r="Z15" s="178">
        <f t="shared" si="9"/>
        <v>589148.22879604832</v>
      </c>
      <c r="AA15" s="173">
        <f>+pronostico!M14*2%</f>
        <v>935.15591872388632</v>
      </c>
      <c r="AB15" s="179">
        <f t="shared" si="10"/>
        <v>1178296.4575920966</v>
      </c>
      <c r="AC15" s="180">
        <f t="shared" si="11"/>
        <v>589148.22879604832</v>
      </c>
      <c r="AD15" s="173">
        <f>+pronostico!M14*10%</f>
        <v>4675.7795936194316</v>
      </c>
      <c r="AE15" s="176">
        <f t="shared" si="18"/>
        <v>5891482.2879604837</v>
      </c>
      <c r="AF15" s="177">
        <f t="shared" si="18"/>
        <v>2945741.1439802418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+pronostico!M15*50%</f>
        <v>34177.995801026584</v>
      </c>
      <c r="G16" s="137">
        <f t="shared" si="13"/>
        <v>92622368.620782048</v>
      </c>
      <c r="H16" s="138">
        <f t="shared" si="13"/>
        <v>46311184.310391024</v>
      </c>
      <c r="I16" s="137">
        <f t="shared" si="14"/>
        <v>17088.997900513292</v>
      </c>
      <c r="J16" s="139">
        <f t="shared" si="15"/>
        <v>10253.398740307975</v>
      </c>
      <c r="K16" s="167">
        <f t="shared" si="0"/>
        <v>3417.7995801026586</v>
      </c>
      <c r="L16" s="168">
        <f t="shared" si="1"/>
        <v>3417.7995801026586</v>
      </c>
      <c r="M16" s="169">
        <f>+pronostico!M15*20%</f>
        <v>13671.198320410635</v>
      </c>
      <c r="N16" s="170">
        <f t="shared" si="2"/>
        <v>37048947.448312819</v>
      </c>
      <c r="O16" s="171">
        <f t="shared" si="3"/>
        <v>18524473.72415641</v>
      </c>
      <c r="P16" s="170">
        <f t="shared" si="16"/>
        <v>6835.5991602053173</v>
      </c>
      <c r="Q16" s="172">
        <f t="shared" si="17"/>
        <v>6835.5991602053173</v>
      </c>
      <c r="R16" s="173">
        <f>+pronostico!M15*8%</f>
        <v>5468.4793281642533</v>
      </c>
      <c r="S16" s="174">
        <f t="shared" si="4"/>
        <v>14819578.979325127</v>
      </c>
      <c r="T16" s="175">
        <f t="shared" si="5"/>
        <v>7409789.4896625634</v>
      </c>
      <c r="U16" s="173">
        <f>+pronostico!M15*8%</f>
        <v>5468.4793281642533</v>
      </c>
      <c r="V16" s="176">
        <f t="shared" si="6"/>
        <v>14819578.979325127</v>
      </c>
      <c r="W16" s="177">
        <f t="shared" si="7"/>
        <v>7409789.4896625634</v>
      </c>
      <c r="X16" s="173">
        <f>+pronostico!M15*2%</f>
        <v>1367.1198320410633</v>
      </c>
      <c r="Y16" s="178">
        <f t="shared" si="8"/>
        <v>3704894.7448312817</v>
      </c>
      <c r="Z16" s="178">
        <f t="shared" si="9"/>
        <v>1852447.3724156409</v>
      </c>
      <c r="AA16" s="173">
        <f>+pronostico!M15*2%</f>
        <v>1367.1198320410633</v>
      </c>
      <c r="AB16" s="179">
        <f t="shared" si="10"/>
        <v>3704894.7448312817</v>
      </c>
      <c r="AC16" s="180">
        <f t="shared" si="11"/>
        <v>1852447.3724156409</v>
      </c>
      <c r="AD16" s="173">
        <f>+pronostico!M15*10%</f>
        <v>6835.5991602053173</v>
      </c>
      <c r="AE16" s="176">
        <f t="shared" si="18"/>
        <v>18524473.72415641</v>
      </c>
      <c r="AF16" s="177">
        <f t="shared" si="18"/>
        <v>9262236.8620782048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+pronostico!M16*50%</f>
        <v>33675.378215717326</v>
      </c>
      <c r="G17" s="137">
        <f t="shared" si="13"/>
        <v>49839559.759261645</v>
      </c>
      <c r="H17" s="138">
        <f t="shared" si="13"/>
        <v>24919779.879630823</v>
      </c>
      <c r="I17" s="137">
        <f t="shared" si="14"/>
        <v>16837.689107858663</v>
      </c>
      <c r="J17" s="139">
        <f t="shared" si="15"/>
        <v>10102.613464715198</v>
      </c>
      <c r="K17" s="167">
        <f t="shared" si="0"/>
        <v>3367.5378215717328</v>
      </c>
      <c r="L17" s="168">
        <f t="shared" si="1"/>
        <v>3367.5378215717328</v>
      </c>
      <c r="M17" s="169">
        <f>+pronostico!M16*20%</f>
        <v>13470.151286286931</v>
      </c>
      <c r="N17" s="170">
        <f t="shared" si="2"/>
        <v>19935823.903704658</v>
      </c>
      <c r="O17" s="171">
        <f t="shared" si="3"/>
        <v>9967911.9518523291</v>
      </c>
      <c r="P17" s="170">
        <f t="shared" si="16"/>
        <v>6735.0756431434656</v>
      </c>
      <c r="Q17" s="172">
        <f t="shared" si="17"/>
        <v>6735.0756431434656</v>
      </c>
      <c r="R17" s="173">
        <f>+pronostico!M16*8%</f>
        <v>5388.060514514772</v>
      </c>
      <c r="S17" s="174">
        <f t="shared" si="4"/>
        <v>7974329.5614818623</v>
      </c>
      <c r="T17" s="175">
        <f t="shared" si="5"/>
        <v>3987164.7807409312</v>
      </c>
      <c r="U17" s="173">
        <f>+pronostico!M16*8%</f>
        <v>5388.060514514772</v>
      </c>
      <c r="V17" s="176">
        <f t="shared" si="6"/>
        <v>7974329.5614818623</v>
      </c>
      <c r="W17" s="177">
        <f t="shared" si="7"/>
        <v>3987164.7807409312</v>
      </c>
      <c r="X17" s="173">
        <f>+pronostico!M16*2%</f>
        <v>1347.015128628693</v>
      </c>
      <c r="Y17" s="178">
        <f t="shared" si="8"/>
        <v>1993582.3903704656</v>
      </c>
      <c r="Z17" s="178">
        <f t="shared" si="9"/>
        <v>996791.19518523279</v>
      </c>
      <c r="AA17" s="173">
        <f>+pronostico!M16*2%</f>
        <v>1347.015128628693</v>
      </c>
      <c r="AB17" s="179">
        <f t="shared" si="10"/>
        <v>1993582.3903704656</v>
      </c>
      <c r="AC17" s="180">
        <f t="shared" si="11"/>
        <v>996791.19518523279</v>
      </c>
      <c r="AD17" s="173">
        <f>+pronostico!M16*10%</f>
        <v>6735.0756431434656</v>
      </c>
      <c r="AE17" s="176">
        <f t="shared" si="18"/>
        <v>9967911.9518523291</v>
      </c>
      <c r="AF17" s="177">
        <f t="shared" si="18"/>
        <v>4983955.9759261645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+pronostico!M17*50%</f>
        <v>95910.884895576019</v>
      </c>
      <c r="G18" s="137">
        <f t="shared" si="13"/>
        <v>226349688.3535594</v>
      </c>
      <c r="H18" s="138">
        <f t="shared" si="13"/>
        <v>113174844.1767797</v>
      </c>
      <c r="I18" s="137">
        <f t="shared" si="14"/>
        <v>47955.442447788009</v>
      </c>
      <c r="J18" s="139">
        <f t="shared" si="15"/>
        <v>28773.265468672806</v>
      </c>
      <c r="K18" s="167">
        <f t="shared" si="0"/>
        <v>9591.0884895576019</v>
      </c>
      <c r="L18" s="168">
        <f t="shared" si="1"/>
        <v>9591.0884895576019</v>
      </c>
      <c r="M18" s="169">
        <f>+pronostico!M17*20%</f>
        <v>38364.353958230407</v>
      </c>
      <c r="N18" s="170">
        <f t="shared" si="2"/>
        <v>90539875.341423765</v>
      </c>
      <c r="O18" s="171">
        <f t="shared" si="3"/>
        <v>45269937.670711882</v>
      </c>
      <c r="P18" s="170">
        <f t="shared" si="16"/>
        <v>19182.176979115204</v>
      </c>
      <c r="Q18" s="172">
        <f t="shared" si="17"/>
        <v>19182.176979115204</v>
      </c>
      <c r="R18" s="173">
        <f>+pronostico!M17*8%</f>
        <v>15345.741583292163</v>
      </c>
      <c r="S18" s="174">
        <f t="shared" si="4"/>
        <v>36215950.136569507</v>
      </c>
      <c r="T18" s="175">
        <f t="shared" si="5"/>
        <v>18107975.068284754</v>
      </c>
      <c r="U18" s="173">
        <f>+pronostico!M17*8%</f>
        <v>15345.741583292163</v>
      </c>
      <c r="V18" s="176">
        <f t="shared" si="6"/>
        <v>36215950.136569507</v>
      </c>
      <c r="W18" s="177">
        <f t="shared" si="7"/>
        <v>18107975.068284754</v>
      </c>
      <c r="X18" s="173">
        <f>+pronostico!M17*2%</f>
        <v>3836.4353958230408</v>
      </c>
      <c r="Y18" s="178">
        <f t="shared" si="8"/>
        <v>9053987.5341423769</v>
      </c>
      <c r="Z18" s="178">
        <f t="shared" si="9"/>
        <v>4526993.7670711884</v>
      </c>
      <c r="AA18" s="173">
        <f>+pronostico!M17*2%</f>
        <v>3836.4353958230408</v>
      </c>
      <c r="AB18" s="179">
        <f t="shared" si="10"/>
        <v>9053987.5341423769</v>
      </c>
      <c r="AC18" s="180">
        <f t="shared" si="11"/>
        <v>4526993.7670711884</v>
      </c>
      <c r="AD18" s="173">
        <f>+pronostico!M17*10%</f>
        <v>19182.176979115204</v>
      </c>
      <c r="AE18" s="176">
        <f t="shared" si="18"/>
        <v>45269937.670711882</v>
      </c>
      <c r="AF18" s="177">
        <f t="shared" si="18"/>
        <v>22634968.835355941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+pronostico!M18*50%</f>
        <v>22393.180053576005</v>
      </c>
      <c r="G19" s="137">
        <f t="shared" si="13"/>
        <v>111965900.26788002</v>
      </c>
      <c r="H19" s="138">
        <f t="shared" si="13"/>
        <v>44786360.107152015</v>
      </c>
      <c r="I19" s="137">
        <f>+F19*60%</f>
        <v>13435.908032145602</v>
      </c>
      <c r="J19" s="139">
        <f t="shared" si="15"/>
        <v>6717.9540160728011</v>
      </c>
      <c r="K19" s="167">
        <f t="shared" si="0"/>
        <v>2239.3180053576007</v>
      </c>
      <c r="L19" s="168" t="s">
        <v>21</v>
      </c>
      <c r="M19" s="169">
        <f>+pronostico!M18*20%</f>
        <v>8957.2720214304027</v>
      </c>
      <c r="N19" s="170">
        <f t="shared" si="2"/>
        <v>44786360.107152015</v>
      </c>
      <c r="O19" s="171">
        <f t="shared" si="3"/>
        <v>17914544.042860806</v>
      </c>
      <c r="P19" s="170">
        <f t="shared" si="16"/>
        <v>4478.6360107152013</v>
      </c>
      <c r="Q19" s="172">
        <f t="shared" si="17"/>
        <v>4478.6360107152013</v>
      </c>
      <c r="R19" s="173">
        <f>+pronostico!M18*8%</f>
        <v>3582.908808572161</v>
      </c>
      <c r="S19" s="174">
        <f t="shared" si="4"/>
        <v>17914544.042860806</v>
      </c>
      <c r="T19" s="175">
        <f t="shared" si="5"/>
        <v>7165817.617144323</v>
      </c>
      <c r="U19" s="173">
        <f>+pronostico!M18*8%</f>
        <v>3582.908808572161</v>
      </c>
      <c r="V19" s="176">
        <f t="shared" si="6"/>
        <v>17914544.042860806</v>
      </c>
      <c r="W19" s="177">
        <f t="shared" si="7"/>
        <v>7165817.617144323</v>
      </c>
      <c r="X19" s="173">
        <f>+pronostico!M18*2%</f>
        <v>895.72720214304024</v>
      </c>
      <c r="Y19" s="178">
        <f t="shared" si="8"/>
        <v>4478636.0107152015</v>
      </c>
      <c r="Z19" s="178">
        <f t="shared" si="9"/>
        <v>1791454.4042860807</v>
      </c>
      <c r="AA19" s="173">
        <f>+pronostico!M18*2%</f>
        <v>895.72720214304024</v>
      </c>
      <c r="AB19" s="179">
        <f t="shared" si="10"/>
        <v>4478636.0107152015</v>
      </c>
      <c r="AC19" s="180">
        <f t="shared" si="11"/>
        <v>1791454.4042860807</v>
      </c>
      <c r="AD19" s="173">
        <f>+pronostico!M18*10%</f>
        <v>4478.6360107152013</v>
      </c>
      <c r="AE19" s="176">
        <f t="shared" si="18"/>
        <v>22393180.053576007</v>
      </c>
      <c r="AF19" s="177">
        <f t="shared" si="18"/>
        <v>8957272.021430403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+pronostico!M19*50%</f>
        <v>16142.610935520002</v>
      </c>
      <c r="G20" s="137">
        <f t="shared" si="13"/>
        <v>57951973.258516811</v>
      </c>
      <c r="H20" s="138">
        <f t="shared" si="13"/>
        <v>23180789.303406727</v>
      </c>
      <c r="I20" s="137">
        <f t="shared" si="14"/>
        <v>8071.3054677600012</v>
      </c>
      <c r="J20" s="139">
        <f t="shared" si="15"/>
        <v>4842.7832806560009</v>
      </c>
      <c r="K20" s="167">
        <f t="shared" si="0"/>
        <v>1614.2610935520004</v>
      </c>
      <c r="L20" s="168">
        <f>+F20*10%</f>
        <v>1614.2610935520004</v>
      </c>
      <c r="M20" s="169">
        <f>+pronostico!M19*20%</f>
        <v>6457.0443742080015</v>
      </c>
      <c r="N20" s="170">
        <f t="shared" si="2"/>
        <v>23180789.303406727</v>
      </c>
      <c r="O20" s="171">
        <f t="shared" si="3"/>
        <v>9272315.7213626914</v>
      </c>
      <c r="P20" s="170">
        <f t="shared" si="16"/>
        <v>3228.5221871040007</v>
      </c>
      <c r="Q20" s="172">
        <f t="shared" si="17"/>
        <v>3228.5221871040007</v>
      </c>
      <c r="R20" s="173">
        <f>+pronostico!M19*8%</f>
        <v>2582.8177496832004</v>
      </c>
      <c r="S20" s="174">
        <f t="shared" si="4"/>
        <v>9272315.7213626895</v>
      </c>
      <c r="T20" s="175">
        <f t="shared" si="5"/>
        <v>3708926.2885450758</v>
      </c>
      <c r="U20" s="173">
        <f>+pronostico!M19*8%</f>
        <v>2582.8177496832004</v>
      </c>
      <c r="V20" s="176">
        <f t="shared" si="6"/>
        <v>9272315.7213626895</v>
      </c>
      <c r="W20" s="177">
        <f t="shared" si="7"/>
        <v>3708926.2885450758</v>
      </c>
      <c r="X20" s="173">
        <f>+pronostico!M19*2%</f>
        <v>645.7044374208001</v>
      </c>
      <c r="Y20" s="178">
        <f t="shared" si="8"/>
        <v>2318078.9303406724</v>
      </c>
      <c r="Z20" s="178">
        <f t="shared" si="9"/>
        <v>927231.57213626895</v>
      </c>
      <c r="AA20" s="173">
        <f>+pronostico!M19*2%</f>
        <v>645.7044374208001</v>
      </c>
      <c r="AB20" s="179">
        <f t="shared" si="10"/>
        <v>2318078.9303406724</v>
      </c>
      <c r="AC20" s="180">
        <f t="shared" si="11"/>
        <v>927231.57213626895</v>
      </c>
      <c r="AD20" s="173">
        <f>+pronostico!M19*10%</f>
        <v>3228.5221871040007</v>
      </c>
      <c r="AE20" s="176">
        <f t="shared" si="18"/>
        <v>11590394.651703363</v>
      </c>
      <c r="AF20" s="177">
        <f t="shared" si="18"/>
        <v>4636157.8606813457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+pronostico!M20*50%</f>
        <v>15391.791822240002</v>
      </c>
      <c r="G21" s="137">
        <f t="shared" si="13"/>
        <v>189780793.16821924</v>
      </c>
      <c r="H21" s="138">
        <f t="shared" si="13"/>
        <v>75912317.267287701</v>
      </c>
      <c r="I21" s="137">
        <f>+F21*60%</f>
        <v>9235.0750933440013</v>
      </c>
      <c r="J21" s="139">
        <f t="shared" si="15"/>
        <v>4617.5375466720006</v>
      </c>
      <c r="K21" s="167">
        <f t="shared" si="0"/>
        <v>1539.1791822240002</v>
      </c>
      <c r="L21" s="168" t="s">
        <v>21</v>
      </c>
      <c r="M21" s="169">
        <f>+pronostico!M20*20%</f>
        <v>6156.7167288960009</v>
      </c>
      <c r="N21" s="170">
        <f t="shared" si="2"/>
        <v>75912317.267287686</v>
      </c>
      <c r="O21" s="171">
        <f t="shared" si="3"/>
        <v>30364926.906915076</v>
      </c>
      <c r="P21" s="170">
        <f t="shared" si="16"/>
        <v>3078.3583644480004</v>
      </c>
      <c r="Q21" s="172">
        <f t="shared" si="17"/>
        <v>3078.3583644480004</v>
      </c>
      <c r="R21" s="173">
        <f>+pronostico!M20*8%</f>
        <v>2462.6866915584005</v>
      </c>
      <c r="S21" s="174">
        <f t="shared" si="4"/>
        <v>30364926.90691508</v>
      </c>
      <c r="T21" s="175">
        <f t="shared" si="5"/>
        <v>12145970.762766033</v>
      </c>
      <c r="U21" s="173">
        <f>+pronostico!M20*8%</f>
        <v>2462.6866915584005</v>
      </c>
      <c r="V21" s="176">
        <f t="shared" si="6"/>
        <v>30364926.90691508</v>
      </c>
      <c r="W21" s="177">
        <f t="shared" si="7"/>
        <v>12145970.762766033</v>
      </c>
      <c r="X21" s="173">
        <f>+pronostico!M20*2%</f>
        <v>615.67167288960013</v>
      </c>
      <c r="Y21" s="178">
        <f t="shared" si="8"/>
        <v>7591231.72672877</v>
      </c>
      <c r="Z21" s="178">
        <f t="shared" si="9"/>
        <v>3036492.6906915084</v>
      </c>
      <c r="AA21" s="173">
        <f>+pronostico!M20*2%</f>
        <v>615.67167288960013</v>
      </c>
      <c r="AB21" s="179">
        <f t="shared" si="10"/>
        <v>7591231.72672877</v>
      </c>
      <c r="AC21" s="180">
        <f t="shared" si="11"/>
        <v>3036492.6906915084</v>
      </c>
      <c r="AD21" s="173">
        <f>+pronostico!M20*10%</f>
        <v>3078.3583644480004</v>
      </c>
      <c r="AE21" s="176">
        <f t="shared" ref="AE21:AF36" si="20">+AD21*D21</f>
        <v>37956158.633643843</v>
      </c>
      <c r="AF21" s="177">
        <f t="shared" si="20"/>
        <v>15182463.453457538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+pronostico!M21*50%</f>
        <v>13495.973561208002</v>
      </c>
      <c r="G22" s="137">
        <f t="shared" si="13"/>
        <v>100949882.23783585</v>
      </c>
      <c r="H22" s="138">
        <f t="shared" si="13"/>
        <v>40379952.895134345</v>
      </c>
      <c r="I22" s="137">
        <f t="shared" ref="I22:I51" si="21">+F22*60%</f>
        <v>8097.5841367248013</v>
      </c>
      <c r="J22" s="139">
        <f t="shared" si="15"/>
        <v>4048.7920683624006</v>
      </c>
      <c r="K22" s="167">
        <f t="shared" si="0"/>
        <v>1349.5973561208002</v>
      </c>
      <c r="L22" s="168" t="s">
        <v>21</v>
      </c>
      <c r="M22" s="169">
        <f>+pronostico!M21*20%</f>
        <v>5398.3894244832009</v>
      </c>
      <c r="N22" s="170">
        <f t="shared" si="2"/>
        <v>40379952.895134345</v>
      </c>
      <c r="O22" s="171">
        <f t="shared" si="3"/>
        <v>16151981.158053739</v>
      </c>
      <c r="P22" s="170">
        <f t="shared" si="16"/>
        <v>2699.1947122416004</v>
      </c>
      <c r="Q22" s="172">
        <f t="shared" si="17"/>
        <v>2699.1947122416004</v>
      </c>
      <c r="R22" s="173">
        <f>+pronostico!M21*8%</f>
        <v>2159.3557697932802</v>
      </c>
      <c r="S22" s="174">
        <f t="shared" si="4"/>
        <v>16151981.158053735</v>
      </c>
      <c r="T22" s="175">
        <f t="shared" si="5"/>
        <v>6460792.4632214941</v>
      </c>
      <c r="U22" s="173">
        <f>+pronostico!M21*8%</f>
        <v>2159.3557697932802</v>
      </c>
      <c r="V22" s="176">
        <f t="shared" si="6"/>
        <v>16151981.158053735</v>
      </c>
      <c r="W22" s="177">
        <f t="shared" si="7"/>
        <v>6460792.4632214941</v>
      </c>
      <c r="X22" s="173">
        <f>+pronostico!M21*2%</f>
        <v>539.83894244832004</v>
      </c>
      <c r="Y22" s="178">
        <f t="shared" si="8"/>
        <v>4037995.2895134338</v>
      </c>
      <c r="Z22" s="178">
        <f t="shared" si="9"/>
        <v>1615198.1158053735</v>
      </c>
      <c r="AA22" s="173">
        <f>+pronostico!M21*2%</f>
        <v>539.83894244832004</v>
      </c>
      <c r="AB22" s="179">
        <f t="shared" si="10"/>
        <v>4037995.2895134338</v>
      </c>
      <c r="AC22" s="180">
        <f t="shared" si="11"/>
        <v>1615198.1158053735</v>
      </c>
      <c r="AD22" s="173">
        <f>+pronostico!M21*10%</f>
        <v>2699.1947122416004</v>
      </c>
      <c r="AE22" s="176">
        <f t="shared" si="20"/>
        <v>20189976.447567172</v>
      </c>
      <c r="AF22" s="177">
        <f t="shared" si="20"/>
        <v>8075990.5790268695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+pronostico!M22*50%</f>
        <v>9134.9658782400002</v>
      </c>
      <c r="G23" s="137">
        <f t="shared" si="13"/>
        <v>37453360.100784004</v>
      </c>
      <c r="H23" s="138">
        <f t="shared" si="13"/>
        <v>14981344.040313601</v>
      </c>
      <c r="I23" s="137">
        <f t="shared" si="21"/>
        <v>5480.9795269440001</v>
      </c>
      <c r="J23" s="139">
        <f t="shared" si="15"/>
        <v>2740.489763472</v>
      </c>
      <c r="K23" s="167">
        <f t="shared" si="0"/>
        <v>913.49658782400002</v>
      </c>
      <c r="L23" s="168" t="s">
        <v>21</v>
      </c>
      <c r="M23" s="169">
        <f>+pronostico!M22*20%</f>
        <v>3653.9863512960001</v>
      </c>
      <c r="N23" s="170">
        <f t="shared" si="2"/>
        <v>14981344.0403136</v>
      </c>
      <c r="O23" s="171">
        <f t="shared" si="3"/>
        <v>5992537.6161254402</v>
      </c>
      <c r="P23" s="170">
        <f t="shared" si="16"/>
        <v>1826.993175648</v>
      </c>
      <c r="Q23" s="172">
        <f t="shared" si="17"/>
        <v>1826.993175648</v>
      </c>
      <c r="R23" s="173">
        <f>+pronostico!M22*8%</f>
        <v>1461.5945405184</v>
      </c>
      <c r="S23" s="174">
        <f t="shared" si="4"/>
        <v>5992537.6161254402</v>
      </c>
      <c r="T23" s="175">
        <f t="shared" si="5"/>
        <v>2397015.0464501763</v>
      </c>
      <c r="U23" s="173">
        <f>+pronostico!M22*8%</f>
        <v>1461.5945405184</v>
      </c>
      <c r="V23" s="176">
        <f t="shared" si="6"/>
        <v>5992537.6161254402</v>
      </c>
      <c r="W23" s="177">
        <f t="shared" si="7"/>
        <v>2397015.0464501763</v>
      </c>
      <c r="X23" s="173">
        <f>+pronostico!M22*2%</f>
        <v>365.3986351296</v>
      </c>
      <c r="Y23" s="178">
        <f t="shared" si="8"/>
        <v>1498134.4040313601</v>
      </c>
      <c r="Z23" s="178">
        <f t="shared" si="9"/>
        <v>599253.76161254407</v>
      </c>
      <c r="AA23" s="173">
        <f>+pronostico!M22*2%</f>
        <v>365.3986351296</v>
      </c>
      <c r="AB23" s="179">
        <f t="shared" si="10"/>
        <v>1498134.4040313601</v>
      </c>
      <c r="AC23" s="180">
        <f t="shared" si="11"/>
        <v>599253.76161254407</v>
      </c>
      <c r="AD23" s="173">
        <f>+pronostico!M22*10%</f>
        <v>1826.993175648</v>
      </c>
      <c r="AE23" s="176">
        <f t="shared" si="20"/>
        <v>7490672.0201567998</v>
      </c>
      <c r="AF23" s="177">
        <f t="shared" si="20"/>
        <v>2996268.8080627201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+pronostico!M23*50%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+pronostico!M23*20%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+pronostico!M23*8%</f>
        <v>2000</v>
      </c>
      <c r="S24" s="174">
        <f t="shared" si="4"/>
        <v>6600000</v>
      </c>
      <c r="T24" s="175">
        <f t="shared" si="5"/>
        <v>3300000</v>
      </c>
      <c r="U24" s="173">
        <f>+pronostico!M23*8%</f>
        <v>2000</v>
      </c>
      <c r="V24" s="176">
        <f t="shared" si="6"/>
        <v>6600000</v>
      </c>
      <c r="W24" s="177">
        <f t="shared" si="7"/>
        <v>3300000</v>
      </c>
      <c r="X24" s="173">
        <f>+pronostico!M23*2%</f>
        <v>500</v>
      </c>
      <c r="Y24" s="178">
        <f t="shared" si="8"/>
        <v>1650000</v>
      </c>
      <c r="Z24" s="178">
        <f t="shared" si="9"/>
        <v>825000</v>
      </c>
      <c r="AA24" s="173">
        <f>+pronostico!M23*2%</f>
        <v>500</v>
      </c>
      <c r="AB24" s="179">
        <f t="shared" si="10"/>
        <v>1650000</v>
      </c>
      <c r="AC24" s="180">
        <f t="shared" si="11"/>
        <v>825000</v>
      </c>
      <c r="AD24" s="173">
        <f>+pronostico!M23*10%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+pronostico!M24*50%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+pronostico!M24*20%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+pronostico!M24*8%</f>
        <v>2400</v>
      </c>
      <c r="S25" s="174">
        <f t="shared" si="4"/>
        <v>7200000</v>
      </c>
      <c r="T25" s="175">
        <f t="shared" si="5"/>
        <v>3600000</v>
      </c>
      <c r="U25" s="173">
        <f>+pronostico!M24*8%</f>
        <v>2400</v>
      </c>
      <c r="V25" s="176">
        <f t="shared" si="6"/>
        <v>7200000</v>
      </c>
      <c r="W25" s="177">
        <f t="shared" si="7"/>
        <v>3600000</v>
      </c>
      <c r="X25" s="173">
        <f>+pronostico!M24*2%</f>
        <v>600</v>
      </c>
      <c r="Y25" s="178">
        <f t="shared" si="8"/>
        <v>1800000</v>
      </c>
      <c r="Z25" s="178">
        <f t="shared" si="9"/>
        <v>900000</v>
      </c>
      <c r="AA25" s="173">
        <f>+pronostico!M24*2%</f>
        <v>600</v>
      </c>
      <c r="AB25" s="179">
        <f t="shared" si="10"/>
        <v>1800000</v>
      </c>
      <c r="AC25" s="180">
        <f t="shared" si="11"/>
        <v>900000</v>
      </c>
      <c r="AD25" s="173">
        <f>+pronostico!M24*10%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+pronostico!M25*50%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+pronostico!M25*20%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+pronostico!M25*8%</f>
        <v>3200</v>
      </c>
      <c r="S26" s="174">
        <f t="shared" si="4"/>
        <v>12160000</v>
      </c>
      <c r="T26" s="175">
        <f t="shared" si="5"/>
        <v>4864000</v>
      </c>
      <c r="U26" s="173">
        <f>+pronostico!M25*8%</f>
        <v>3200</v>
      </c>
      <c r="V26" s="176">
        <f t="shared" si="6"/>
        <v>12160000</v>
      </c>
      <c r="W26" s="177">
        <f t="shared" si="7"/>
        <v>4864000</v>
      </c>
      <c r="X26" s="173">
        <f>+pronostico!M25*2%</f>
        <v>800</v>
      </c>
      <c r="Y26" s="178">
        <f t="shared" si="8"/>
        <v>3040000</v>
      </c>
      <c r="Z26" s="178">
        <f t="shared" si="9"/>
        <v>1216000</v>
      </c>
      <c r="AA26" s="173">
        <f>+pronostico!M25*2%</f>
        <v>800</v>
      </c>
      <c r="AB26" s="179">
        <f t="shared" si="10"/>
        <v>3040000</v>
      </c>
      <c r="AC26" s="180">
        <f t="shared" si="11"/>
        <v>1216000</v>
      </c>
      <c r="AD26" s="173">
        <f>+pronostico!M25*10%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+pronostico!M26*50%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+pronostico!M26*20%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+pronostico!M26*8%</f>
        <v>4800</v>
      </c>
      <c r="S27" s="174">
        <f t="shared" si="4"/>
        <v>11040000</v>
      </c>
      <c r="T27" s="175">
        <f t="shared" si="5"/>
        <v>5520000</v>
      </c>
      <c r="U27" s="173">
        <f>+pronostico!M26*8%</f>
        <v>4800</v>
      </c>
      <c r="V27" s="176">
        <f t="shared" si="6"/>
        <v>11040000</v>
      </c>
      <c r="W27" s="177">
        <f t="shared" si="7"/>
        <v>5520000</v>
      </c>
      <c r="X27" s="173">
        <f>+pronostico!M26*2%</f>
        <v>1200</v>
      </c>
      <c r="Y27" s="178">
        <f t="shared" si="8"/>
        <v>2760000</v>
      </c>
      <c r="Z27" s="178">
        <f t="shared" si="9"/>
        <v>1380000</v>
      </c>
      <c r="AA27" s="173">
        <f>+pronostico!M26*2%</f>
        <v>1200</v>
      </c>
      <c r="AB27" s="179">
        <f t="shared" si="10"/>
        <v>2760000</v>
      </c>
      <c r="AC27" s="180">
        <f t="shared" si="11"/>
        <v>1380000</v>
      </c>
      <c r="AD27" s="173">
        <f>+pronostico!M26*10%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+pronostico!M27*50%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+pronostico!M27*20%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+pronostico!M27*8%</f>
        <v>2400</v>
      </c>
      <c r="S28" s="174">
        <f t="shared" si="4"/>
        <v>9360000</v>
      </c>
      <c r="T28" s="175">
        <f t="shared" si="5"/>
        <v>3744000</v>
      </c>
      <c r="U28" s="173">
        <f>+pronostico!M27*8%</f>
        <v>2400</v>
      </c>
      <c r="V28" s="176">
        <f t="shared" si="6"/>
        <v>9360000</v>
      </c>
      <c r="W28" s="177">
        <f t="shared" si="7"/>
        <v>3744000</v>
      </c>
      <c r="X28" s="173">
        <f>+pronostico!M27*2%</f>
        <v>600</v>
      </c>
      <c r="Y28" s="178">
        <f t="shared" si="8"/>
        <v>2340000</v>
      </c>
      <c r="Z28" s="178">
        <f t="shared" si="9"/>
        <v>936000</v>
      </c>
      <c r="AA28" s="173">
        <f>+pronostico!M27*2%</f>
        <v>600</v>
      </c>
      <c r="AB28" s="179">
        <f t="shared" si="10"/>
        <v>2340000</v>
      </c>
      <c r="AC28" s="180">
        <f t="shared" si="11"/>
        <v>936000</v>
      </c>
      <c r="AD28" s="173">
        <f>+pronostico!M27*10%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+pronostico!M28*50%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+pronostico!M28*20%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+pronostico!M28*8%</f>
        <v>5200</v>
      </c>
      <c r="S29" s="174">
        <f t="shared" si="4"/>
        <v>15600000</v>
      </c>
      <c r="T29" s="175">
        <f t="shared" si="5"/>
        <v>7800000</v>
      </c>
      <c r="U29" s="173">
        <f>+pronostico!M28*8%</f>
        <v>5200</v>
      </c>
      <c r="V29" s="176">
        <f t="shared" si="6"/>
        <v>15600000</v>
      </c>
      <c r="W29" s="177">
        <f t="shared" si="7"/>
        <v>7800000</v>
      </c>
      <c r="X29" s="173">
        <f>+pronostico!M28*2%</f>
        <v>1300</v>
      </c>
      <c r="Y29" s="178">
        <f t="shared" si="8"/>
        <v>3900000</v>
      </c>
      <c r="Z29" s="178">
        <f t="shared" si="9"/>
        <v>1950000</v>
      </c>
      <c r="AA29" s="173">
        <f>+pronostico!M28*2%</f>
        <v>1300</v>
      </c>
      <c r="AB29" s="179">
        <f t="shared" si="10"/>
        <v>3900000</v>
      </c>
      <c r="AC29" s="180">
        <f t="shared" si="11"/>
        <v>1950000</v>
      </c>
      <c r="AD29" s="173">
        <f>+pronostico!M28*10%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+pronostico!M29*50%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+pronostico!M29*20%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+pronostico!M29*8%</f>
        <v>2000</v>
      </c>
      <c r="S30" s="174">
        <f t="shared" si="4"/>
        <v>8200000</v>
      </c>
      <c r="T30" s="175">
        <f t="shared" si="5"/>
        <v>3280000</v>
      </c>
      <c r="U30" s="173">
        <f>+pronostico!M29*8%</f>
        <v>2000</v>
      </c>
      <c r="V30" s="176">
        <f t="shared" si="6"/>
        <v>8200000</v>
      </c>
      <c r="W30" s="177">
        <f t="shared" si="7"/>
        <v>3280000</v>
      </c>
      <c r="X30" s="173">
        <f>+pronostico!M29*2%</f>
        <v>500</v>
      </c>
      <c r="Y30" s="178">
        <f t="shared" si="8"/>
        <v>2050000</v>
      </c>
      <c r="Z30" s="178">
        <f t="shared" si="9"/>
        <v>820000</v>
      </c>
      <c r="AA30" s="173">
        <f>+pronostico!M29*2%</f>
        <v>500</v>
      </c>
      <c r="AB30" s="179">
        <f t="shared" si="10"/>
        <v>2050000</v>
      </c>
      <c r="AC30" s="180">
        <f t="shared" si="11"/>
        <v>820000</v>
      </c>
      <c r="AD30" s="173">
        <f>+pronostico!M29*10%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+pronostico!M30*50%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+pronostico!M30*20%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+pronostico!M30*8%</f>
        <v>2000</v>
      </c>
      <c r="S31" s="174">
        <f t="shared" si="4"/>
        <v>4700000</v>
      </c>
      <c r="T31" s="175">
        <f t="shared" si="5"/>
        <v>2350000</v>
      </c>
      <c r="U31" s="173">
        <f>+pronostico!M30*8%</f>
        <v>2000</v>
      </c>
      <c r="V31" s="176">
        <f t="shared" si="6"/>
        <v>4700000</v>
      </c>
      <c r="W31" s="177">
        <f t="shared" si="7"/>
        <v>2350000</v>
      </c>
      <c r="X31" s="173">
        <f>+pronostico!M30*2%</f>
        <v>500</v>
      </c>
      <c r="Y31" s="178">
        <f t="shared" si="8"/>
        <v>1175000</v>
      </c>
      <c r="Z31" s="178">
        <f t="shared" si="9"/>
        <v>587500</v>
      </c>
      <c r="AA31" s="173">
        <f>+pronostico!M30*2%</f>
        <v>500</v>
      </c>
      <c r="AB31" s="179">
        <f t="shared" si="10"/>
        <v>1175000</v>
      </c>
      <c r="AC31" s="180">
        <f t="shared" si="11"/>
        <v>587500</v>
      </c>
      <c r="AD31" s="173">
        <f>+pronostico!M30*10%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+pronostico!M31*50%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+pronostico!M31*20%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+pronostico!M31*8%</f>
        <v>1600</v>
      </c>
      <c r="S32" s="174">
        <f t="shared" si="4"/>
        <v>4800000</v>
      </c>
      <c r="T32" s="175">
        <f t="shared" si="5"/>
        <v>2400000</v>
      </c>
      <c r="U32" s="173">
        <f>+pronostico!M31*8%</f>
        <v>1600</v>
      </c>
      <c r="V32" s="176">
        <f t="shared" si="6"/>
        <v>4800000</v>
      </c>
      <c r="W32" s="177">
        <f t="shared" si="7"/>
        <v>2400000</v>
      </c>
      <c r="X32" s="173">
        <f>+pronostico!M31*2%</f>
        <v>400</v>
      </c>
      <c r="Y32" s="178">
        <f t="shared" si="8"/>
        <v>1200000</v>
      </c>
      <c r="Z32" s="178">
        <f t="shared" si="9"/>
        <v>600000</v>
      </c>
      <c r="AA32" s="173">
        <f>+pronostico!M31*2%</f>
        <v>400</v>
      </c>
      <c r="AB32" s="179">
        <f t="shared" si="10"/>
        <v>1200000</v>
      </c>
      <c r="AC32" s="180">
        <f t="shared" si="11"/>
        <v>600000</v>
      </c>
      <c r="AD32" s="173">
        <f>+pronostico!M31*10%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+pronostico!M32*50%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+pronostico!M32*20%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+pronostico!M32*8%</f>
        <v>1200</v>
      </c>
      <c r="S33" s="174">
        <f t="shared" si="4"/>
        <v>2760000</v>
      </c>
      <c r="T33" s="175">
        <f t="shared" si="5"/>
        <v>1380000</v>
      </c>
      <c r="U33" s="173">
        <f>+pronostico!M32*8%</f>
        <v>1200</v>
      </c>
      <c r="V33" s="176">
        <f t="shared" si="6"/>
        <v>2760000</v>
      </c>
      <c r="W33" s="177">
        <f t="shared" si="7"/>
        <v>1380000</v>
      </c>
      <c r="X33" s="173">
        <f>+pronostico!M32*2%</f>
        <v>300</v>
      </c>
      <c r="Y33" s="178">
        <f t="shared" si="8"/>
        <v>690000</v>
      </c>
      <c r="Z33" s="178">
        <f t="shared" si="9"/>
        <v>345000</v>
      </c>
      <c r="AA33" s="173">
        <f>+pronostico!M32*2%</f>
        <v>300</v>
      </c>
      <c r="AB33" s="179">
        <f t="shared" si="10"/>
        <v>690000</v>
      </c>
      <c r="AC33" s="180">
        <f t="shared" si="11"/>
        <v>345000</v>
      </c>
      <c r="AD33" s="173">
        <f>+pronostico!M32*10%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+pronostico!M33*50%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+pronostico!M33*20%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+pronostico!M33*8%</f>
        <v>1600</v>
      </c>
      <c r="S34" s="174">
        <f t="shared" si="4"/>
        <v>6080000</v>
      </c>
      <c r="T34" s="175">
        <f t="shared" si="5"/>
        <v>2432000</v>
      </c>
      <c r="U34" s="173">
        <f>+pronostico!M33*8%</f>
        <v>1600</v>
      </c>
      <c r="V34" s="176">
        <f t="shared" si="6"/>
        <v>6080000</v>
      </c>
      <c r="W34" s="177">
        <f t="shared" si="7"/>
        <v>2432000</v>
      </c>
      <c r="X34" s="173">
        <f>+pronostico!M33*2%</f>
        <v>400</v>
      </c>
      <c r="Y34" s="178">
        <f t="shared" si="8"/>
        <v>1520000</v>
      </c>
      <c r="Z34" s="178">
        <f t="shared" si="9"/>
        <v>608000</v>
      </c>
      <c r="AA34" s="173">
        <f>+pronostico!M33*2%</f>
        <v>400</v>
      </c>
      <c r="AB34" s="179">
        <f t="shared" si="10"/>
        <v>1520000</v>
      </c>
      <c r="AC34" s="180">
        <f t="shared" si="11"/>
        <v>608000</v>
      </c>
      <c r="AD34" s="173">
        <f>+pronostico!M33*10%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+pronostico!M34*50%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+pronostico!M34*20%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+pronostico!M34*8%</f>
        <v>1600</v>
      </c>
      <c r="S35" s="174">
        <f t="shared" si="4"/>
        <v>6400000</v>
      </c>
      <c r="T35" s="175">
        <f t="shared" si="5"/>
        <v>2560000</v>
      </c>
      <c r="U35" s="173">
        <f>+pronostico!M34*8%</f>
        <v>1600</v>
      </c>
      <c r="V35" s="176">
        <f t="shared" si="6"/>
        <v>6400000</v>
      </c>
      <c r="W35" s="177">
        <f t="shared" si="7"/>
        <v>2560000</v>
      </c>
      <c r="X35" s="173">
        <f>+pronostico!M34*2%</f>
        <v>400</v>
      </c>
      <c r="Y35" s="178">
        <f t="shared" si="8"/>
        <v>1600000</v>
      </c>
      <c r="Z35" s="178">
        <f t="shared" si="9"/>
        <v>640000</v>
      </c>
      <c r="AA35" s="173">
        <f>+pronostico!M34*2%</f>
        <v>400</v>
      </c>
      <c r="AB35" s="179">
        <f t="shared" si="10"/>
        <v>1600000</v>
      </c>
      <c r="AC35" s="180">
        <f t="shared" si="11"/>
        <v>640000</v>
      </c>
      <c r="AD35" s="173">
        <f>+pronostico!M34*10%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+pronostico!M35*50%</f>
        <v>158798</v>
      </c>
      <c r="G36" s="137">
        <f t="shared" si="13"/>
        <v>303304180</v>
      </c>
      <c r="H36" s="138">
        <f t="shared" si="13"/>
        <v>151652090</v>
      </c>
      <c r="I36" s="137">
        <f t="shared" si="21"/>
        <v>95278.8</v>
      </c>
      <c r="J36" s="139">
        <f t="shared" si="15"/>
        <v>47639.4</v>
      </c>
      <c r="K36" s="167">
        <f t="shared" si="0"/>
        <v>15879.800000000001</v>
      </c>
      <c r="L36" s="168" t="s">
        <v>21</v>
      </c>
      <c r="M36" s="169">
        <f>+pronostico!M35*20%</f>
        <v>63519.200000000004</v>
      </c>
      <c r="N36" s="170">
        <f t="shared" si="2"/>
        <v>121321672.00000001</v>
      </c>
      <c r="O36" s="171">
        <f t="shared" si="3"/>
        <v>60660836.000000007</v>
      </c>
      <c r="P36" s="170">
        <f t="shared" si="16"/>
        <v>31759.600000000002</v>
      </c>
      <c r="Q36" s="172">
        <f t="shared" si="17"/>
        <v>31759.600000000002</v>
      </c>
      <c r="R36" s="173">
        <f>+pronostico!M35*8%</f>
        <v>25407.68</v>
      </c>
      <c r="S36" s="174">
        <f t="shared" si="4"/>
        <v>48528668.799999997</v>
      </c>
      <c r="T36" s="175">
        <f t="shared" si="5"/>
        <v>24264334.399999999</v>
      </c>
      <c r="U36" s="173">
        <f>+pronostico!M35*8%</f>
        <v>25407.68</v>
      </c>
      <c r="V36" s="176">
        <v>0</v>
      </c>
      <c r="W36" s="177">
        <f t="shared" ref="W36:W51" si="22">V36*E36</f>
        <v>0</v>
      </c>
      <c r="X36" s="173">
        <f>+pronostico!M35*2%</f>
        <v>6351.92</v>
      </c>
      <c r="Y36" s="178">
        <f t="shared" si="8"/>
        <v>12132167.199999999</v>
      </c>
      <c r="Z36" s="178">
        <f t="shared" si="9"/>
        <v>6066083.5999999996</v>
      </c>
      <c r="AA36" s="173">
        <f>+pronostico!M35*2%</f>
        <v>6351.92</v>
      </c>
      <c r="AB36" s="179">
        <f t="shared" si="10"/>
        <v>12132167.199999999</v>
      </c>
      <c r="AC36" s="180">
        <f t="shared" si="11"/>
        <v>6066083.5999999996</v>
      </c>
      <c r="AD36" s="173">
        <f>+pronostico!M35*10%</f>
        <v>31759.600000000002</v>
      </c>
      <c r="AE36" s="176">
        <f t="shared" si="20"/>
        <v>60660836.000000007</v>
      </c>
      <c r="AF36" s="177">
        <f t="shared" si="20"/>
        <v>30330418.000000004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+pronostico!M36*50%</f>
        <v>148155.5</v>
      </c>
      <c r="G37" s="137">
        <f t="shared" si="13"/>
        <v>321497435</v>
      </c>
      <c r="H37" s="138">
        <f t="shared" si="13"/>
        <v>160748717.5</v>
      </c>
      <c r="I37" s="137">
        <f t="shared" si="21"/>
        <v>88893.3</v>
      </c>
      <c r="J37" s="139">
        <f t="shared" si="15"/>
        <v>44446.65</v>
      </c>
      <c r="K37" s="167">
        <f t="shared" si="0"/>
        <v>14815.550000000001</v>
      </c>
      <c r="L37" s="168" t="s">
        <v>21</v>
      </c>
      <c r="M37" s="169">
        <f>+pronostico!M36*20%</f>
        <v>59262.200000000004</v>
      </c>
      <c r="N37" s="170">
        <f t="shared" si="2"/>
        <v>128598974.00000001</v>
      </c>
      <c r="O37" s="171">
        <f t="shared" si="3"/>
        <v>64299487.000000007</v>
      </c>
      <c r="P37" s="170">
        <f t="shared" si="16"/>
        <v>29631.100000000002</v>
      </c>
      <c r="Q37" s="172">
        <f t="shared" si="17"/>
        <v>29631.100000000002</v>
      </c>
      <c r="R37" s="173">
        <f>+pronostico!M36*8%</f>
        <v>23704.880000000001</v>
      </c>
      <c r="S37" s="174">
        <f t="shared" si="4"/>
        <v>51439589.600000001</v>
      </c>
      <c r="T37" s="175">
        <f t="shared" si="5"/>
        <v>25719794.800000001</v>
      </c>
      <c r="U37" s="173">
        <f>+pronostico!M36*8%</f>
        <v>23704.880000000001</v>
      </c>
      <c r="V37" s="176">
        <v>0</v>
      </c>
      <c r="W37" s="177">
        <f t="shared" si="22"/>
        <v>0</v>
      </c>
      <c r="X37" s="173">
        <f>+pronostico!M36*2%</f>
        <v>5926.22</v>
      </c>
      <c r="Y37" s="178">
        <f t="shared" si="8"/>
        <v>12859897.4</v>
      </c>
      <c r="Z37" s="178">
        <f t="shared" si="9"/>
        <v>6429948.7000000002</v>
      </c>
      <c r="AA37" s="173">
        <f>+pronostico!M36*2%</f>
        <v>5926.22</v>
      </c>
      <c r="AB37" s="179">
        <f t="shared" si="10"/>
        <v>12859897.4</v>
      </c>
      <c r="AC37" s="180">
        <f t="shared" si="11"/>
        <v>6429948.7000000002</v>
      </c>
      <c r="AD37" s="173">
        <f>+pronostico!M36*10%</f>
        <v>29631.100000000002</v>
      </c>
      <c r="AE37" s="176">
        <f t="shared" ref="AE37:AF51" si="23">+AD37*D37</f>
        <v>64299487.000000007</v>
      </c>
      <c r="AF37" s="177">
        <f t="shared" si="23"/>
        <v>32149743.500000004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+pronostico!M37*50%</f>
        <v>118567</v>
      </c>
      <c r="G38" s="137">
        <f t="shared" si="13"/>
        <v>198006890</v>
      </c>
      <c r="H38" s="138">
        <f t="shared" si="13"/>
        <v>99003445</v>
      </c>
      <c r="I38" s="137">
        <f t="shared" si="21"/>
        <v>71140.2</v>
      </c>
      <c r="J38" s="139">
        <f t="shared" si="15"/>
        <v>35570.1</v>
      </c>
      <c r="K38" s="167">
        <f t="shared" si="0"/>
        <v>11856.7</v>
      </c>
      <c r="L38" s="168" t="s">
        <v>21</v>
      </c>
      <c r="M38" s="169">
        <f>+pronostico!M37*20%</f>
        <v>47426.8</v>
      </c>
      <c r="N38" s="170">
        <f t="shared" si="2"/>
        <v>79202756</v>
      </c>
      <c r="O38" s="171">
        <f t="shared" si="3"/>
        <v>39601378</v>
      </c>
      <c r="P38" s="170">
        <f t="shared" si="16"/>
        <v>23713.4</v>
      </c>
      <c r="Q38" s="172">
        <f t="shared" si="17"/>
        <v>23713.4</v>
      </c>
      <c r="R38" s="173">
        <f>+pronostico!M37*8%</f>
        <v>18970.72</v>
      </c>
      <c r="S38" s="174">
        <f t="shared" si="4"/>
        <v>31681102.400000002</v>
      </c>
      <c r="T38" s="175">
        <f t="shared" si="5"/>
        <v>15840551.200000001</v>
      </c>
      <c r="U38" s="173">
        <f>+pronostico!M37*8%</f>
        <v>18970.72</v>
      </c>
      <c r="V38" s="176">
        <v>0</v>
      </c>
      <c r="W38" s="177">
        <f t="shared" si="22"/>
        <v>0</v>
      </c>
      <c r="X38" s="173">
        <f>+pronostico!M37*2%</f>
        <v>4742.68</v>
      </c>
      <c r="Y38" s="178">
        <f t="shared" si="8"/>
        <v>7920275.6000000006</v>
      </c>
      <c r="Z38" s="178">
        <f t="shared" si="9"/>
        <v>3960137.8000000003</v>
      </c>
      <c r="AA38" s="173">
        <f>+pronostico!M37*2%</f>
        <v>4742.68</v>
      </c>
      <c r="AB38" s="179">
        <f t="shared" si="10"/>
        <v>7920275.6000000006</v>
      </c>
      <c r="AC38" s="180">
        <f t="shared" si="11"/>
        <v>3960137.8000000003</v>
      </c>
      <c r="AD38" s="173">
        <f>+pronostico!M37*10%</f>
        <v>23713.4</v>
      </c>
      <c r="AE38" s="176">
        <f t="shared" si="23"/>
        <v>39601378</v>
      </c>
      <c r="AF38" s="177">
        <f t="shared" si="23"/>
        <v>19800689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+pronostico!M38*50%</f>
        <v>58564</v>
      </c>
      <c r="G39" s="137">
        <f t="shared" si="13"/>
        <v>59735280</v>
      </c>
      <c r="H39" s="138">
        <f t="shared" si="13"/>
        <v>29867640</v>
      </c>
      <c r="I39" s="137">
        <f t="shared" si="21"/>
        <v>35138.400000000001</v>
      </c>
      <c r="J39" s="139">
        <f t="shared" si="15"/>
        <v>17569.2</v>
      </c>
      <c r="K39" s="167">
        <f t="shared" si="0"/>
        <v>5856.4000000000005</v>
      </c>
      <c r="L39" s="168" t="s">
        <v>21</v>
      </c>
      <c r="M39" s="169">
        <f>+pronostico!M38*20%</f>
        <v>23425.600000000002</v>
      </c>
      <c r="N39" s="170">
        <f t="shared" si="2"/>
        <v>23894112.000000004</v>
      </c>
      <c r="O39" s="171">
        <f t="shared" si="3"/>
        <v>11947056.000000002</v>
      </c>
      <c r="P39" s="170">
        <f t="shared" si="16"/>
        <v>11712.800000000001</v>
      </c>
      <c r="Q39" s="172">
        <f t="shared" si="17"/>
        <v>11712.800000000001</v>
      </c>
      <c r="R39" s="173">
        <f>+pronostico!M38*8%</f>
        <v>9370.24</v>
      </c>
      <c r="S39" s="174">
        <f t="shared" si="4"/>
        <v>9557644.7999999989</v>
      </c>
      <c r="T39" s="175">
        <f t="shared" si="5"/>
        <v>4778822.3999999994</v>
      </c>
      <c r="U39" s="173">
        <f>+pronostico!M38*8%</f>
        <v>9370.24</v>
      </c>
      <c r="V39" s="176">
        <v>0</v>
      </c>
      <c r="W39" s="177">
        <f t="shared" si="22"/>
        <v>0</v>
      </c>
      <c r="X39" s="173">
        <f>+pronostico!M38*2%</f>
        <v>2342.56</v>
      </c>
      <c r="Y39" s="178">
        <f t="shared" si="8"/>
        <v>2389411.1999999997</v>
      </c>
      <c r="Z39" s="178">
        <f t="shared" si="9"/>
        <v>1194705.5999999999</v>
      </c>
      <c r="AA39" s="173">
        <f>+pronostico!M38*2%</f>
        <v>2342.56</v>
      </c>
      <c r="AB39" s="179">
        <f t="shared" si="10"/>
        <v>2389411.1999999997</v>
      </c>
      <c r="AC39" s="180">
        <f t="shared" si="11"/>
        <v>1194705.5999999999</v>
      </c>
      <c r="AD39" s="173">
        <f>+pronostico!M38*10%</f>
        <v>11712.800000000001</v>
      </c>
      <c r="AE39" s="176">
        <f t="shared" si="23"/>
        <v>11947056.000000002</v>
      </c>
      <c r="AF39" s="177">
        <f t="shared" si="23"/>
        <v>5973528.0000000009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+pronostico!M39*50%</f>
        <v>64783</v>
      </c>
      <c r="G40" s="137">
        <f t="shared" si="13"/>
        <v>92639690</v>
      </c>
      <c r="H40" s="138">
        <f t="shared" si="13"/>
        <v>46319845</v>
      </c>
      <c r="I40" s="137">
        <f t="shared" si="21"/>
        <v>38869.799999999996</v>
      </c>
      <c r="J40" s="139">
        <f t="shared" si="15"/>
        <v>19434.899999999998</v>
      </c>
      <c r="K40" s="167">
        <f t="shared" si="0"/>
        <v>6478.3</v>
      </c>
      <c r="L40" s="168" t="s">
        <v>21</v>
      </c>
      <c r="M40" s="169">
        <f>+pronostico!M39*20%</f>
        <v>25913.200000000001</v>
      </c>
      <c r="N40" s="170">
        <f t="shared" si="2"/>
        <v>37055876</v>
      </c>
      <c r="O40" s="171">
        <f t="shared" si="3"/>
        <v>18527938</v>
      </c>
      <c r="P40" s="170">
        <f t="shared" si="16"/>
        <v>12956.6</v>
      </c>
      <c r="Q40" s="172">
        <f t="shared" si="17"/>
        <v>12956.6</v>
      </c>
      <c r="R40" s="173">
        <f>+pronostico!M39*8%</f>
        <v>10365.280000000001</v>
      </c>
      <c r="S40" s="174">
        <f t="shared" si="4"/>
        <v>14822350.4</v>
      </c>
      <c r="T40" s="175">
        <f t="shared" si="5"/>
        <v>7411175.2000000002</v>
      </c>
      <c r="U40" s="173">
        <f>+pronostico!M39*8%</f>
        <v>10365.280000000001</v>
      </c>
      <c r="V40" s="176">
        <v>0</v>
      </c>
      <c r="W40" s="177">
        <f t="shared" si="22"/>
        <v>0</v>
      </c>
      <c r="X40" s="173">
        <f>+pronostico!M39*2%</f>
        <v>2591.3200000000002</v>
      </c>
      <c r="Y40" s="178">
        <f t="shared" si="8"/>
        <v>3705587.6</v>
      </c>
      <c r="Z40" s="178">
        <f t="shared" si="9"/>
        <v>1852793.8</v>
      </c>
      <c r="AA40" s="173">
        <f>+pronostico!M39*2%</f>
        <v>2591.3200000000002</v>
      </c>
      <c r="AB40" s="179">
        <f t="shared" si="10"/>
        <v>3705587.6</v>
      </c>
      <c r="AC40" s="180">
        <f t="shared" si="11"/>
        <v>1852793.8</v>
      </c>
      <c r="AD40" s="173">
        <f>+pronostico!M39*10%</f>
        <v>12956.6</v>
      </c>
      <c r="AE40" s="176">
        <f t="shared" si="23"/>
        <v>18527938</v>
      </c>
      <c r="AF40" s="177">
        <f t="shared" si="23"/>
        <v>9263969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+pronostico!M40*50%</f>
        <v>53952.5</v>
      </c>
      <c r="G41" s="137">
        <f t="shared" si="13"/>
        <v>715410150</v>
      </c>
      <c r="H41" s="138">
        <f t="shared" si="13"/>
        <v>286164060</v>
      </c>
      <c r="I41" s="137">
        <f t="shared" si="21"/>
        <v>32371.5</v>
      </c>
      <c r="J41" s="139">
        <f t="shared" si="15"/>
        <v>16185.75</v>
      </c>
      <c r="K41" s="167">
        <f t="shared" si="0"/>
        <v>5395.25</v>
      </c>
      <c r="L41" s="168" t="s">
        <v>21</v>
      </c>
      <c r="M41" s="169">
        <f>+pronostico!M40*20%</f>
        <v>21581</v>
      </c>
      <c r="N41" s="170">
        <f t="shared" si="2"/>
        <v>286164060</v>
      </c>
      <c r="O41" s="171">
        <f t="shared" si="3"/>
        <v>114465624</v>
      </c>
      <c r="P41" s="170">
        <f t="shared" si="16"/>
        <v>10790.5</v>
      </c>
      <c r="Q41" s="172">
        <f t="shared" si="17"/>
        <v>10790.5</v>
      </c>
      <c r="R41" s="173">
        <f>+pronostico!M40*8%</f>
        <v>8632.4</v>
      </c>
      <c r="S41" s="174">
        <f t="shared" si="4"/>
        <v>114465624</v>
      </c>
      <c r="T41" s="175">
        <f t="shared" si="5"/>
        <v>45786249.600000001</v>
      </c>
      <c r="U41" s="173">
        <f>+pronostico!M40*8%</f>
        <v>8632.4</v>
      </c>
      <c r="V41" s="176">
        <v>0</v>
      </c>
      <c r="W41" s="177">
        <f t="shared" si="22"/>
        <v>0</v>
      </c>
      <c r="X41" s="173">
        <f>+pronostico!M40*2%</f>
        <v>2158.1</v>
      </c>
      <c r="Y41" s="178">
        <f t="shared" si="8"/>
        <v>28616406</v>
      </c>
      <c r="Z41" s="178">
        <f t="shared" si="9"/>
        <v>11446562.4</v>
      </c>
      <c r="AA41" s="173">
        <f>+pronostico!M40*2%</f>
        <v>2158.1</v>
      </c>
      <c r="AB41" s="179">
        <f t="shared" si="10"/>
        <v>28616406</v>
      </c>
      <c r="AC41" s="180">
        <f t="shared" si="11"/>
        <v>11446562.4</v>
      </c>
      <c r="AD41" s="173">
        <f>+pronostico!M40*10%</f>
        <v>10790.5</v>
      </c>
      <c r="AE41" s="176">
        <f t="shared" si="23"/>
        <v>143082030</v>
      </c>
      <c r="AF41" s="177">
        <f t="shared" si="23"/>
        <v>57232812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+pronostico!M41*50%</f>
        <v>29970</v>
      </c>
      <c r="G42" s="137">
        <f t="shared" si="13"/>
        <v>85114800</v>
      </c>
      <c r="H42" s="138">
        <f t="shared" si="13"/>
        <v>42557400</v>
      </c>
      <c r="I42" s="137">
        <f t="shared" si="21"/>
        <v>17982</v>
      </c>
      <c r="J42" s="139">
        <f t="shared" si="15"/>
        <v>8991</v>
      </c>
      <c r="K42" s="167">
        <f t="shared" si="0"/>
        <v>2997</v>
      </c>
      <c r="L42" s="168" t="s">
        <v>21</v>
      </c>
      <c r="M42" s="169">
        <f>+pronostico!M41*20%</f>
        <v>11988</v>
      </c>
      <c r="N42" s="170">
        <f t="shared" si="2"/>
        <v>34045920</v>
      </c>
      <c r="O42" s="171">
        <f t="shared" si="3"/>
        <v>17022960</v>
      </c>
      <c r="P42" s="170">
        <f t="shared" si="16"/>
        <v>5994</v>
      </c>
      <c r="Q42" s="172">
        <f t="shared" si="17"/>
        <v>5994</v>
      </c>
      <c r="R42" s="173">
        <f>+pronostico!M41*8%</f>
        <v>4795.2</v>
      </c>
      <c r="S42" s="174">
        <f t="shared" si="4"/>
        <v>13618368</v>
      </c>
      <c r="T42" s="175">
        <f t="shared" si="5"/>
        <v>6809184</v>
      </c>
      <c r="U42" s="173">
        <f>+pronostico!M41*8%</f>
        <v>4795.2</v>
      </c>
      <c r="V42" s="176">
        <v>0</v>
      </c>
      <c r="W42" s="177">
        <f t="shared" si="22"/>
        <v>0</v>
      </c>
      <c r="X42" s="173">
        <f>+pronostico!M41*2%</f>
        <v>1198.8</v>
      </c>
      <c r="Y42" s="178">
        <f t="shared" si="8"/>
        <v>3404592</v>
      </c>
      <c r="Z42" s="178">
        <f t="shared" si="9"/>
        <v>1702296</v>
      </c>
      <c r="AA42" s="173">
        <f>+pronostico!M41*2%</f>
        <v>1198.8</v>
      </c>
      <c r="AB42" s="179">
        <f t="shared" si="10"/>
        <v>3404592</v>
      </c>
      <c r="AC42" s="180">
        <f t="shared" si="11"/>
        <v>1702296</v>
      </c>
      <c r="AD42" s="173">
        <f>+pronostico!M41*10%</f>
        <v>5994</v>
      </c>
      <c r="AE42" s="176">
        <f t="shared" si="23"/>
        <v>17022960</v>
      </c>
      <c r="AF42" s="177">
        <f t="shared" si="23"/>
        <v>8511480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+pronostico!M42*50%</f>
        <v>27035.5</v>
      </c>
      <c r="G43" s="137">
        <f t="shared" si="13"/>
        <v>102734900</v>
      </c>
      <c r="H43" s="138">
        <f t="shared" si="13"/>
        <v>41093960</v>
      </c>
      <c r="I43" s="137">
        <f t="shared" si="21"/>
        <v>16221.3</v>
      </c>
      <c r="J43" s="139">
        <f t="shared" si="15"/>
        <v>8110.65</v>
      </c>
      <c r="K43" s="167">
        <f t="shared" si="0"/>
        <v>2703.55</v>
      </c>
      <c r="L43" s="168" t="s">
        <v>21</v>
      </c>
      <c r="M43" s="169">
        <f>+pronostico!M42*20%</f>
        <v>10814.2</v>
      </c>
      <c r="N43" s="170">
        <f t="shared" si="2"/>
        <v>41093960</v>
      </c>
      <c r="O43" s="171">
        <f t="shared" si="3"/>
        <v>16437584</v>
      </c>
      <c r="P43" s="170">
        <f t="shared" si="16"/>
        <v>5407.1</v>
      </c>
      <c r="Q43" s="172">
        <f t="shared" si="17"/>
        <v>5407.1</v>
      </c>
      <c r="R43" s="173">
        <f>+pronostico!M42*8%</f>
        <v>4325.68</v>
      </c>
      <c r="S43" s="174">
        <f t="shared" si="4"/>
        <v>16437584.000000002</v>
      </c>
      <c r="T43" s="175">
        <f t="shared" si="5"/>
        <v>6575033.6000000015</v>
      </c>
      <c r="U43" s="173">
        <f>+pronostico!M42*8%</f>
        <v>4325.68</v>
      </c>
      <c r="V43" s="176">
        <v>0</v>
      </c>
      <c r="W43" s="177">
        <f t="shared" si="22"/>
        <v>0</v>
      </c>
      <c r="X43" s="173">
        <f>+pronostico!M42*2%</f>
        <v>1081.42</v>
      </c>
      <c r="Y43" s="178">
        <f t="shared" si="8"/>
        <v>4109396.0000000005</v>
      </c>
      <c r="Z43" s="178">
        <f t="shared" si="9"/>
        <v>1643758.4000000004</v>
      </c>
      <c r="AA43" s="173">
        <f>+pronostico!M42*2%</f>
        <v>1081.42</v>
      </c>
      <c r="AB43" s="179">
        <f t="shared" si="10"/>
        <v>4109396.0000000005</v>
      </c>
      <c r="AC43" s="180">
        <f t="shared" si="11"/>
        <v>1643758.4000000004</v>
      </c>
      <c r="AD43" s="173">
        <f>+pronostico!M42*10%</f>
        <v>5407.1</v>
      </c>
      <c r="AE43" s="176">
        <f t="shared" si="23"/>
        <v>20546980</v>
      </c>
      <c r="AF43" s="177">
        <f t="shared" si="23"/>
        <v>8218792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+pronostico!M43*50%</f>
        <v>27846.621733229807</v>
      </c>
      <c r="G44" s="137">
        <f t="shared" si="13"/>
        <v>95792378.762310535</v>
      </c>
      <c r="H44" s="138">
        <f t="shared" si="13"/>
        <v>47896189.381155267</v>
      </c>
      <c r="I44" s="137">
        <f t="shared" si="21"/>
        <v>16707.973039937882</v>
      </c>
      <c r="J44" s="139">
        <f t="shared" si="15"/>
        <v>8353.9865199689411</v>
      </c>
      <c r="K44" s="167">
        <f t="shared" si="0"/>
        <v>2784.6621733229808</v>
      </c>
      <c r="L44" s="168" t="s">
        <v>21</v>
      </c>
      <c r="M44" s="169">
        <f>+pronostico!M43*20%</f>
        <v>11138.648693291923</v>
      </c>
      <c r="N44" s="170">
        <f t="shared" si="2"/>
        <v>38316951.504924215</v>
      </c>
      <c r="O44" s="171">
        <f t="shared" si="3"/>
        <v>19158475.752462108</v>
      </c>
      <c r="P44" s="170">
        <f t="shared" si="16"/>
        <v>5569.3243466459617</v>
      </c>
      <c r="Q44" s="172">
        <f t="shared" si="17"/>
        <v>5569.3243466459617</v>
      </c>
      <c r="R44" s="173">
        <f>+pronostico!M43*8%</f>
        <v>4455.4594773167692</v>
      </c>
      <c r="S44" s="174">
        <f t="shared" si="4"/>
        <v>15326780.601969685</v>
      </c>
      <c r="T44" s="175">
        <f t="shared" si="5"/>
        <v>7663390.3009848427</v>
      </c>
      <c r="U44" s="173">
        <f>+pronostico!M43*8%</f>
        <v>4455.4594773167692</v>
      </c>
      <c r="V44" s="176">
        <f t="shared" ref="V44:V51" si="24">U44*D44</f>
        <v>15326780.601969685</v>
      </c>
      <c r="W44" s="177">
        <f t="shared" si="22"/>
        <v>7663390.3009848427</v>
      </c>
      <c r="X44" s="173">
        <f>+pronostico!M43*2%</f>
        <v>1113.8648693291923</v>
      </c>
      <c r="Y44" s="178">
        <f t="shared" si="8"/>
        <v>3831695.1504924214</v>
      </c>
      <c r="Z44" s="178">
        <f t="shared" si="9"/>
        <v>1915847.5752462107</v>
      </c>
      <c r="AA44" s="173">
        <f>+pronostico!M43*2%</f>
        <v>1113.8648693291923</v>
      </c>
      <c r="AB44" s="179">
        <f t="shared" si="10"/>
        <v>3831695.1504924214</v>
      </c>
      <c r="AC44" s="180">
        <f t="shared" si="11"/>
        <v>1915847.5752462107</v>
      </c>
      <c r="AD44" s="173">
        <f>+pronostico!M43*10%</f>
        <v>5569.3243466459617</v>
      </c>
      <c r="AE44" s="176">
        <f t="shared" si="23"/>
        <v>19158475.752462108</v>
      </c>
      <c r="AF44" s="177">
        <f t="shared" si="23"/>
        <v>9579237.8762310538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+pronostico!M44*50%</f>
        <v>32714.411650606751</v>
      </c>
      <c r="G45" s="137">
        <f t="shared" si="13"/>
        <v>67391688.000249907</v>
      </c>
      <c r="H45" s="138">
        <f t="shared" si="13"/>
        <v>33695844.000124954</v>
      </c>
      <c r="I45" s="137">
        <f t="shared" si="21"/>
        <v>19628.64699036405</v>
      </c>
      <c r="J45" s="139">
        <f t="shared" si="15"/>
        <v>9814.323495182025</v>
      </c>
      <c r="K45" s="167">
        <f t="shared" si="0"/>
        <v>3271.4411650606753</v>
      </c>
      <c r="L45" s="168" t="s">
        <v>21</v>
      </c>
      <c r="M45" s="169">
        <f>+pronostico!M44*20%</f>
        <v>13085.764660242701</v>
      </c>
      <c r="N45" s="170">
        <f t="shared" si="2"/>
        <v>26956675.200099964</v>
      </c>
      <c r="O45" s="171">
        <f t="shared" si="3"/>
        <v>13478337.600049982</v>
      </c>
      <c r="P45" s="170">
        <f t="shared" si="16"/>
        <v>6542.8823301213506</v>
      </c>
      <c r="Q45" s="172">
        <f t="shared" si="17"/>
        <v>6542.8823301213506</v>
      </c>
      <c r="R45" s="173">
        <f>+pronostico!M44*8%</f>
        <v>5234.3058640970803</v>
      </c>
      <c r="S45" s="174">
        <f t="shared" si="4"/>
        <v>10782670.080039985</v>
      </c>
      <c r="T45" s="175">
        <f t="shared" si="5"/>
        <v>5391335.0400199927</v>
      </c>
      <c r="U45" s="173">
        <f>+pronostico!M44*8%</f>
        <v>5234.3058640970803</v>
      </c>
      <c r="V45" s="176">
        <f t="shared" si="24"/>
        <v>10782670.080039985</v>
      </c>
      <c r="W45" s="177">
        <f t="shared" si="22"/>
        <v>5391335.0400199927</v>
      </c>
      <c r="X45" s="173">
        <f>+pronostico!M44*2%</f>
        <v>1308.5764660242701</v>
      </c>
      <c r="Y45" s="178">
        <f t="shared" si="8"/>
        <v>2695667.5200099964</v>
      </c>
      <c r="Z45" s="178">
        <f t="shared" si="9"/>
        <v>1347833.7600049982</v>
      </c>
      <c r="AA45" s="173">
        <f>+pronostico!M44*2%</f>
        <v>1308.5764660242701</v>
      </c>
      <c r="AB45" s="179">
        <f t="shared" si="10"/>
        <v>2695667.5200099964</v>
      </c>
      <c r="AC45" s="180">
        <f t="shared" si="11"/>
        <v>1347833.7600049982</v>
      </c>
      <c r="AD45" s="173">
        <f>+pronostico!M44*10%</f>
        <v>6542.8823301213506</v>
      </c>
      <c r="AE45" s="176">
        <f t="shared" si="23"/>
        <v>13478337.600049982</v>
      </c>
      <c r="AF45" s="177">
        <f t="shared" si="23"/>
        <v>6739168.8000249909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+pronostico!M45*50%</f>
        <v>16822.509273287909</v>
      </c>
      <c r="G46" s="137">
        <f t="shared" si="13"/>
        <v>47271251.057939023</v>
      </c>
      <c r="H46" s="138">
        <f t="shared" si="13"/>
        <v>23635625.528969511</v>
      </c>
      <c r="I46" s="137">
        <f t="shared" si="21"/>
        <v>10093.505563972745</v>
      </c>
      <c r="J46" s="139">
        <f t="shared" si="15"/>
        <v>5046.7527819863726</v>
      </c>
      <c r="K46" s="167">
        <f t="shared" si="0"/>
        <v>1682.250927328791</v>
      </c>
      <c r="L46" s="168" t="s">
        <v>21</v>
      </c>
      <c r="M46" s="169">
        <f>+pronostico!M45*20%</f>
        <v>6729.0037093151641</v>
      </c>
      <c r="N46" s="170">
        <f t="shared" si="2"/>
        <v>18908500.423175611</v>
      </c>
      <c r="O46" s="171">
        <f t="shared" si="3"/>
        <v>9454250.2115878053</v>
      </c>
      <c r="P46" s="170">
        <f t="shared" si="16"/>
        <v>3364.501854657582</v>
      </c>
      <c r="Q46" s="172">
        <f t="shared" si="17"/>
        <v>3364.501854657582</v>
      </c>
      <c r="R46" s="173">
        <f>+pronostico!M45*8%</f>
        <v>2691.6014837260655</v>
      </c>
      <c r="S46" s="174">
        <f t="shared" si="4"/>
        <v>7563400.1692702435</v>
      </c>
      <c r="T46" s="175">
        <f t="shared" si="5"/>
        <v>3781700.0846351217</v>
      </c>
      <c r="U46" s="173">
        <f>+pronostico!M45*8%</f>
        <v>2691.6014837260655</v>
      </c>
      <c r="V46" s="176">
        <f t="shared" si="24"/>
        <v>7563400.1692702435</v>
      </c>
      <c r="W46" s="177">
        <f t="shared" si="22"/>
        <v>3781700.0846351217</v>
      </c>
      <c r="X46" s="173">
        <f>+pronostico!M45*2%</f>
        <v>672.90037093151636</v>
      </c>
      <c r="Y46" s="178">
        <f t="shared" si="8"/>
        <v>1890850.0423175609</v>
      </c>
      <c r="Z46" s="178">
        <f t="shared" si="9"/>
        <v>945425.02115878044</v>
      </c>
      <c r="AA46" s="173">
        <f>+pronostico!M45*2%</f>
        <v>672.90037093151636</v>
      </c>
      <c r="AB46" s="179">
        <f t="shared" si="10"/>
        <v>1890850.0423175609</v>
      </c>
      <c r="AC46" s="180">
        <f t="shared" si="11"/>
        <v>945425.02115878044</v>
      </c>
      <c r="AD46" s="173">
        <f>+pronostico!M45*10%</f>
        <v>3364.501854657582</v>
      </c>
      <c r="AE46" s="176">
        <f t="shared" si="23"/>
        <v>9454250.2115878053</v>
      </c>
      <c r="AF46" s="177">
        <f t="shared" si="23"/>
        <v>4727125.1057939027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+pronostico!M46*50%</f>
        <v>13744.348002005469</v>
      </c>
      <c r="G47" s="137">
        <f t="shared" si="13"/>
        <v>56901600.728302643</v>
      </c>
      <c r="H47" s="138">
        <f t="shared" si="13"/>
        <v>22760640.291321058</v>
      </c>
      <c r="I47" s="137">
        <f t="shared" si="21"/>
        <v>8246.6088012032815</v>
      </c>
      <c r="J47" s="139">
        <f t="shared" si="15"/>
        <v>4123.3044006016407</v>
      </c>
      <c r="K47" s="167">
        <f t="shared" si="0"/>
        <v>1374.434800200547</v>
      </c>
      <c r="L47" s="168" t="s">
        <v>21</v>
      </c>
      <c r="M47" s="169">
        <f>+pronostico!M46*20%</f>
        <v>5497.739200802188</v>
      </c>
      <c r="N47" s="170">
        <f t="shared" si="2"/>
        <v>22760640.291321058</v>
      </c>
      <c r="O47" s="171">
        <f t="shared" si="3"/>
        <v>9104256.1165284235</v>
      </c>
      <c r="P47" s="170">
        <f t="shared" si="16"/>
        <v>2748.869600401094</v>
      </c>
      <c r="Q47" s="172">
        <f t="shared" si="17"/>
        <v>2748.869600401094</v>
      </c>
      <c r="R47" s="173">
        <f>+pronostico!M46*8%</f>
        <v>2199.0956803208751</v>
      </c>
      <c r="S47" s="174">
        <f t="shared" si="4"/>
        <v>9104256.1165284235</v>
      </c>
      <c r="T47" s="175">
        <f t="shared" si="5"/>
        <v>3641702.4466113695</v>
      </c>
      <c r="U47" s="173">
        <f>+pronostico!M46*8%</f>
        <v>2199.0956803208751</v>
      </c>
      <c r="V47" s="176">
        <f t="shared" si="24"/>
        <v>9104256.1165284235</v>
      </c>
      <c r="W47" s="177">
        <f t="shared" si="22"/>
        <v>3641702.4466113695</v>
      </c>
      <c r="X47" s="173">
        <f>+pronostico!M46*2%</f>
        <v>549.77392008021877</v>
      </c>
      <c r="Y47" s="178">
        <f t="shared" si="8"/>
        <v>2276064.0291321059</v>
      </c>
      <c r="Z47" s="178">
        <f t="shared" si="9"/>
        <v>910425.61165284237</v>
      </c>
      <c r="AA47" s="173">
        <f>+pronostico!M46*2%</f>
        <v>549.77392008021877</v>
      </c>
      <c r="AB47" s="179">
        <f t="shared" si="10"/>
        <v>2276064.0291321059</v>
      </c>
      <c r="AC47" s="180">
        <f t="shared" si="11"/>
        <v>910425.61165284237</v>
      </c>
      <c r="AD47" s="173">
        <f>+pronostico!M46*10%</f>
        <v>2748.869600401094</v>
      </c>
      <c r="AE47" s="176">
        <f t="shared" si="23"/>
        <v>11380320.145660529</v>
      </c>
      <c r="AF47" s="177">
        <f t="shared" si="23"/>
        <v>4552128.0582642118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+pronostico!M47*50%</f>
        <v>15155.038002499365</v>
      </c>
      <c r="G48" s="137">
        <f t="shared" si="13"/>
        <v>32583331.705373634</v>
      </c>
      <c r="H48" s="138">
        <f t="shared" si="13"/>
        <v>16291665.852686817</v>
      </c>
      <c r="I48" s="137">
        <f t="shared" si="21"/>
        <v>9093.0228014996192</v>
      </c>
      <c r="J48" s="139">
        <f t="shared" si="15"/>
        <v>4546.5114007498096</v>
      </c>
      <c r="K48" s="167">
        <f t="shared" si="0"/>
        <v>1515.5038002499366</v>
      </c>
      <c r="L48" s="168" t="s">
        <v>21</v>
      </c>
      <c r="M48" s="169">
        <f>+pronostico!M47*20%</f>
        <v>6062.0152009997464</v>
      </c>
      <c r="N48" s="170">
        <f t="shared" si="2"/>
        <v>13033332.682149455</v>
      </c>
      <c r="O48" s="171">
        <f t="shared" si="3"/>
        <v>6516666.3410747275</v>
      </c>
      <c r="P48" s="170">
        <f t="shared" si="16"/>
        <v>3031.0076004998732</v>
      </c>
      <c r="Q48" s="172">
        <f t="shared" si="17"/>
        <v>3031.0076004998732</v>
      </c>
      <c r="R48" s="173">
        <f>+pronostico!M47*8%</f>
        <v>2424.8060803998983</v>
      </c>
      <c r="S48" s="174">
        <f t="shared" si="4"/>
        <v>5213333.0728597809</v>
      </c>
      <c r="T48" s="175">
        <f t="shared" si="5"/>
        <v>2606666.5364298904</v>
      </c>
      <c r="U48" s="173">
        <f>+pronostico!M47*8%</f>
        <v>2424.8060803998983</v>
      </c>
      <c r="V48" s="176">
        <f t="shared" si="24"/>
        <v>5213333.0728597809</v>
      </c>
      <c r="W48" s="177">
        <f t="shared" si="22"/>
        <v>2606666.5364298904</v>
      </c>
      <c r="X48" s="173">
        <f>+pronostico!M47*2%</f>
        <v>606.20152009997457</v>
      </c>
      <c r="Y48" s="178">
        <f t="shared" si="8"/>
        <v>1303333.2682149452</v>
      </c>
      <c r="Z48" s="178">
        <f t="shared" si="9"/>
        <v>651666.63410747261</v>
      </c>
      <c r="AA48" s="173">
        <f>+pronostico!M47*2%</f>
        <v>606.20152009997457</v>
      </c>
      <c r="AB48" s="179">
        <f t="shared" si="10"/>
        <v>1303333.2682149452</v>
      </c>
      <c r="AC48" s="180">
        <f t="shared" si="11"/>
        <v>651666.63410747261</v>
      </c>
      <c r="AD48" s="173">
        <f>+pronostico!M47*10%</f>
        <v>3031.0076004998732</v>
      </c>
      <c r="AE48" s="176">
        <f t="shared" si="23"/>
        <v>6516666.3410747275</v>
      </c>
      <c r="AF48" s="177">
        <f t="shared" si="23"/>
        <v>3258333.1705373637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+pronostico!M48*50%</f>
        <v>12026.304501754799</v>
      </c>
      <c r="G49" s="137">
        <f t="shared" si="13"/>
        <v>25856554.678772818</v>
      </c>
      <c r="H49" s="138">
        <f t="shared" si="13"/>
        <v>12928277.339386409</v>
      </c>
      <c r="I49" s="137">
        <f t="shared" si="21"/>
        <v>7215.782701052879</v>
      </c>
      <c r="J49" s="139">
        <f t="shared" si="15"/>
        <v>3607.8913505264395</v>
      </c>
      <c r="K49" s="167">
        <f t="shared" si="0"/>
        <v>1202.6304501754801</v>
      </c>
      <c r="L49" s="168" t="s">
        <v>21</v>
      </c>
      <c r="M49" s="169">
        <f>+pronostico!M48*20%</f>
        <v>4810.5218007019203</v>
      </c>
      <c r="N49" s="170">
        <f t="shared" si="2"/>
        <v>10342621.871509129</v>
      </c>
      <c r="O49" s="171">
        <f t="shared" si="3"/>
        <v>5171310.9357545646</v>
      </c>
      <c r="P49" s="170">
        <f t="shared" si="16"/>
        <v>2405.2609003509601</v>
      </c>
      <c r="Q49" s="172">
        <f t="shared" si="17"/>
        <v>2405.2609003509601</v>
      </c>
      <c r="R49" s="173">
        <f>+pronostico!M48*8%</f>
        <v>1924.2087202807679</v>
      </c>
      <c r="S49" s="174">
        <f t="shared" si="4"/>
        <v>4137048.7486036508</v>
      </c>
      <c r="T49" s="175">
        <f t="shared" si="5"/>
        <v>2068524.3743018254</v>
      </c>
      <c r="U49" s="173">
        <f>+pronostico!M48*8%</f>
        <v>1924.2087202807679</v>
      </c>
      <c r="V49" s="176">
        <f t="shared" si="24"/>
        <v>4137048.7486036508</v>
      </c>
      <c r="W49" s="177">
        <f t="shared" si="22"/>
        <v>2068524.3743018254</v>
      </c>
      <c r="X49" s="173">
        <f>+pronostico!M48*2%</f>
        <v>481.05218007019198</v>
      </c>
      <c r="Y49" s="178">
        <f t="shared" si="8"/>
        <v>1034262.1871509127</v>
      </c>
      <c r="Z49" s="178">
        <f t="shared" si="9"/>
        <v>517131.09357545635</v>
      </c>
      <c r="AA49" s="173">
        <f>+pronostico!M48*2%</f>
        <v>481.05218007019198</v>
      </c>
      <c r="AB49" s="179">
        <f t="shared" si="10"/>
        <v>1034262.1871509127</v>
      </c>
      <c r="AC49" s="180">
        <f t="shared" si="11"/>
        <v>517131.09357545635</v>
      </c>
      <c r="AD49" s="173">
        <f>+pronostico!M48*10%</f>
        <v>2405.2609003509601</v>
      </c>
      <c r="AE49" s="176">
        <f t="shared" si="23"/>
        <v>5171310.9357545646</v>
      </c>
      <c r="AF49" s="177">
        <f t="shared" si="23"/>
        <v>2585655.4678772823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+pronostico!M49*50%</f>
        <v>8804.9729387847674</v>
      </c>
      <c r="G50" s="137">
        <f t="shared" si="13"/>
        <v>35924289.590241849</v>
      </c>
      <c r="H50" s="138">
        <f t="shared" si="13"/>
        <v>14369715.836096741</v>
      </c>
      <c r="I50" s="137">
        <f t="shared" si="21"/>
        <v>5282.9837632708604</v>
      </c>
      <c r="J50" s="139">
        <f t="shared" si="15"/>
        <v>2641.4918816354302</v>
      </c>
      <c r="K50" s="167">
        <f t="shared" si="0"/>
        <v>880.49729387847674</v>
      </c>
      <c r="L50" s="168" t="s">
        <v>21</v>
      </c>
      <c r="M50" s="169">
        <f>+pronostico!M49*20%</f>
        <v>3521.989175513907</v>
      </c>
      <c r="N50" s="170">
        <f t="shared" si="2"/>
        <v>14369715.836096741</v>
      </c>
      <c r="O50" s="171">
        <f t="shared" si="3"/>
        <v>5747886.3344386965</v>
      </c>
      <c r="P50" s="170">
        <f t="shared" si="16"/>
        <v>1760.9945877569535</v>
      </c>
      <c r="Q50" s="172">
        <f t="shared" si="17"/>
        <v>1760.9945877569535</v>
      </c>
      <c r="R50" s="173">
        <f>+pronostico!M49*8%</f>
        <v>1408.7956702055628</v>
      </c>
      <c r="S50" s="174">
        <f t="shared" si="4"/>
        <v>5747886.3344386965</v>
      </c>
      <c r="T50" s="175">
        <f t="shared" si="5"/>
        <v>2299154.5337754786</v>
      </c>
      <c r="U50" s="173">
        <f>+pronostico!M49*8%</f>
        <v>1408.7956702055628</v>
      </c>
      <c r="V50" s="176">
        <f t="shared" si="24"/>
        <v>5747886.3344386965</v>
      </c>
      <c r="W50" s="177">
        <f t="shared" si="22"/>
        <v>2299154.5337754786</v>
      </c>
      <c r="X50" s="173">
        <f>+pronostico!M49*2%</f>
        <v>352.19891755139071</v>
      </c>
      <c r="Y50" s="178">
        <f t="shared" si="8"/>
        <v>1436971.5836096741</v>
      </c>
      <c r="Z50" s="178">
        <f t="shared" si="9"/>
        <v>574788.63344386965</v>
      </c>
      <c r="AA50" s="173">
        <f>+pronostico!M49*2%</f>
        <v>352.19891755139071</v>
      </c>
      <c r="AB50" s="179">
        <f t="shared" si="10"/>
        <v>1436971.5836096741</v>
      </c>
      <c r="AC50" s="180">
        <f t="shared" si="11"/>
        <v>574788.63344386965</v>
      </c>
      <c r="AD50" s="173">
        <f>+pronostico!M49*10%</f>
        <v>1760.9945877569535</v>
      </c>
      <c r="AE50" s="176">
        <f t="shared" si="23"/>
        <v>7184857.9180483706</v>
      </c>
      <c r="AF50" s="177">
        <f t="shared" si="23"/>
        <v>2873943.1672193483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+pronostico!M50*50%</f>
        <v>9592.4095430662928</v>
      </c>
      <c r="G51" s="150">
        <f t="shared" si="13"/>
        <v>53333797.059448585</v>
      </c>
      <c r="H51" s="138">
        <f t="shared" si="13"/>
        <v>21333518.823779434</v>
      </c>
      <c r="I51" s="150">
        <f t="shared" si="21"/>
        <v>5755.4457258397752</v>
      </c>
      <c r="J51" s="151">
        <f t="shared" si="15"/>
        <v>2877.7228629198876</v>
      </c>
      <c r="K51" s="181">
        <f t="shared" si="0"/>
        <v>959.24095430662931</v>
      </c>
      <c r="L51" s="182" t="s">
        <v>21</v>
      </c>
      <c r="M51" s="169">
        <f>+pronostico!M50*20%</f>
        <v>3836.9638172265172</v>
      </c>
      <c r="N51" s="170">
        <f t="shared" si="2"/>
        <v>21333518.823779434</v>
      </c>
      <c r="O51" s="171">
        <f t="shared" si="3"/>
        <v>8533407.529511774</v>
      </c>
      <c r="P51" s="183">
        <f t="shared" si="16"/>
        <v>1918.4819086132586</v>
      </c>
      <c r="Q51" s="184">
        <f t="shared" si="17"/>
        <v>1918.4819086132586</v>
      </c>
      <c r="R51" s="173">
        <f>+pronostico!M50*8%</f>
        <v>1534.7855268906069</v>
      </c>
      <c r="S51" s="174">
        <f t="shared" si="4"/>
        <v>8533407.529511774</v>
      </c>
      <c r="T51" s="175">
        <f t="shared" si="5"/>
        <v>3413363.0118047097</v>
      </c>
      <c r="U51" s="173">
        <f>+pronostico!M50*8%</f>
        <v>1534.7855268906069</v>
      </c>
      <c r="V51" s="176">
        <f t="shared" si="24"/>
        <v>8533407.529511774</v>
      </c>
      <c r="W51" s="177">
        <f t="shared" si="22"/>
        <v>3413363.0118047097</v>
      </c>
      <c r="X51" s="173">
        <f>+pronostico!M50*2%</f>
        <v>383.69638172265172</v>
      </c>
      <c r="Y51" s="178">
        <f t="shared" si="8"/>
        <v>2133351.8823779435</v>
      </c>
      <c r="Z51" s="178">
        <f t="shared" si="9"/>
        <v>853340.75295117742</v>
      </c>
      <c r="AA51" s="173">
        <f>+pronostico!M50*2%</f>
        <v>383.69638172265172</v>
      </c>
      <c r="AB51" s="179">
        <f t="shared" si="10"/>
        <v>2133351.8823779435</v>
      </c>
      <c r="AC51" s="180">
        <f t="shared" si="11"/>
        <v>853340.75295117742</v>
      </c>
      <c r="AD51" s="173">
        <f>+pronostico!M50*10%</f>
        <v>1918.4819086132586</v>
      </c>
      <c r="AE51" s="176">
        <f t="shared" si="23"/>
        <v>10666759.411889717</v>
      </c>
      <c r="AF51" s="177">
        <f t="shared" si="23"/>
        <v>4266703.764755887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5645876190.3838015</v>
      </c>
      <c r="H52" s="186">
        <f>SUM(H4:H51)</f>
        <v>2502268888.0025516</v>
      </c>
      <c r="I52" s="187"/>
      <c r="J52" s="188"/>
      <c r="K52" s="188"/>
      <c r="L52" s="189"/>
      <c r="M52" s="185"/>
      <c r="N52" s="277">
        <f>SUM(N4:N51)</f>
        <v>2258350476.1535215</v>
      </c>
      <c r="O52" s="190">
        <f>SUM(O4:O51)</f>
        <v>1000907555.2010205</v>
      </c>
      <c r="P52" s="187"/>
      <c r="Q52" s="189"/>
      <c r="R52" s="185"/>
      <c r="S52" s="274">
        <f>SUM(S4:S51)</f>
        <v>903340190.46140826</v>
      </c>
      <c r="T52" s="191">
        <f>SUM(T4:T51)</f>
        <v>400363022.0804081</v>
      </c>
      <c r="U52" s="185"/>
      <c r="V52" s="274">
        <f>SUM(V4:V51)</f>
        <v>602789258.46140838</v>
      </c>
      <c r="W52" s="191">
        <f>SUM(W4:W51)</f>
        <v>263177876.88040805</v>
      </c>
      <c r="X52" s="185"/>
      <c r="Y52" s="274">
        <f>SUM(Y4:Y51)</f>
        <v>225835047.61535206</v>
      </c>
      <c r="Z52" s="192">
        <f>SUM(Z4:Z51)</f>
        <v>100090755.52010202</v>
      </c>
      <c r="AA52" s="193"/>
      <c r="AB52" s="274">
        <f>SUM(AB4:AB51)</f>
        <v>225835047.61535206</v>
      </c>
      <c r="AC52" s="194">
        <f>SUM(AC4:AC51)</f>
        <v>100090755.52010202</v>
      </c>
      <c r="AD52" s="193"/>
      <c r="AE52" s="274">
        <f>SUM(AE4:AE51)</f>
        <v>1129175238.0767608</v>
      </c>
      <c r="AF52" s="194">
        <f>SUM(AF4:AF51)</f>
        <v>500453777.60051024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1693762857.1151404</v>
      </c>
      <c r="H53" s="272"/>
      <c r="I53" s="255"/>
      <c r="J53" s="254"/>
      <c r="K53" s="259"/>
      <c r="L53" s="256"/>
      <c r="M53" s="253"/>
      <c r="N53" s="278">
        <f>+N52*20%</f>
        <v>451670095.23070431</v>
      </c>
      <c r="O53" s="272"/>
      <c r="P53" s="260"/>
      <c r="Q53" s="261"/>
      <c r="R53" s="262"/>
      <c r="S53" s="275">
        <f>+S52*12%</f>
        <v>108400822.85536899</v>
      </c>
      <c r="T53" s="272"/>
      <c r="U53" s="283"/>
      <c r="V53" s="275">
        <f>+V52*12%</f>
        <v>72334711.015368998</v>
      </c>
      <c r="W53" s="272"/>
      <c r="X53" s="283"/>
      <c r="Y53" s="275"/>
      <c r="Z53" s="284"/>
      <c r="AA53" s="283"/>
      <c r="AB53" s="275">
        <f>+AB52*12%</f>
        <v>27100205.713842247</v>
      </c>
      <c r="AC53" s="272"/>
      <c r="AD53" s="283"/>
      <c r="AE53" s="275">
        <f>+AE52*12%</f>
        <v>135501028.56921127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3952113333.268661</v>
      </c>
      <c r="H54" s="273"/>
      <c r="I54" s="268"/>
      <c r="J54" s="267"/>
      <c r="K54" s="267"/>
      <c r="L54" s="269"/>
      <c r="M54" s="266"/>
      <c r="N54" s="279">
        <f>+N52-N53</f>
        <v>1806680380.9228172</v>
      </c>
      <c r="O54" s="273"/>
      <c r="P54" s="268"/>
      <c r="Q54" s="269"/>
      <c r="R54" s="266"/>
      <c r="S54" s="276">
        <f>+S52-S53</f>
        <v>794939367.60603929</v>
      </c>
      <c r="T54" s="273"/>
      <c r="U54" s="285"/>
      <c r="V54" s="276">
        <f>+V52-V53</f>
        <v>530454547.44603938</v>
      </c>
      <c r="W54" s="273"/>
      <c r="X54" s="285"/>
      <c r="Y54" s="276">
        <f>+Y52-Y53</f>
        <v>225835047.61535206</v>
      </c>
      <c r="Z54" s="286"/>
      <c r="AA54" s="285"/>
      <c r="AB54" s="276">
        <f>+AB52-AB53</f>
        <v>198734841.90150982</v>
      </c>
      <c r="AC54" s="273"/>
      <c r="AD54" s="285"/>
      <c r="AE54" s="276">
        <f>+AE52-AE53</f>
        <v>993674209.50754952</v>
      </c>
      <c r="AF54" s="273"/>
    </row>
    <row r="55" spans="1:32" x14ac:dyDescent="0.25">
      <c r="A55" s="152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</row>
    <row r="56" spans="1:32" x14ac:dyDescent="0.25">
      <c r="F56" s="786" t="s">
        <v>161</v>
      </c>
      <c r="G56" s="787"/>
      <c r="H56" s="788"/>
      <c r="M56" s="786" t="s">
        <v>160</v>
      </c>
      <c r="N56" s="787"/>
      <c r="O56" s="788"/>
      <c r="R56" s="786" t="s">
        <v>159</v>
      </c>
      <c r="S56" s="787"/>
      <c r="T56" s="788"/>
    </row>
    <row r="57" spans="1:32" x14ac:dyDescent="0.25">
      <c r="F57" s="3" t="s">
        <v>155</v>
      </c>
      <c r="G57" s="3"/>
      <c r="H57" s="271">
        <f>+G52</f>
        <v>5645876190.3838015</v>
      </c>
      <c r="M57" s="3" t="s">
        <v>155</v>
      </c>
      <c r="N57" s="3"/>
      <c r="O57" s="271">
        <f>+N52</f>
        <v>2258350476.1535215</v>
      </c>
      <c r="R57" s="3" t="s">
        <v>155</v>
      </c>
      <c r="S57" s="3"/>
      <c r="T57" s="271">
        <f>S52+V52+Y52+AB52+AE52</f>
        <v>3086974782.2302818</v>
      </c>
    </row>
    <row r="58" spans="1:32" x14ac:dyDescent="0.25">
      <c r="F58" s="3" t="s">
        <v>156</v>
      </c>
      <c r="G58" s="3"/>
      <c r="H58" s="271">
        <f>+G52-H52</f>
        <v>3143607302.3812499</v>
      </c>
      <c r="M58" s="3" t="s">
        <v>156</v>
      </c>
      <c r="N58" s="3"/>
      <c r="O58" s="271">
        <f>+N52-O52</f>
        <v>1257442920.9525011</v>
      </c>
      <c r="R58" s="3" t="s">
        <v>156</v>
      </c>
      <c r="S58" s="3"/>
      <c r="T58" s="271">
        <f>T57-T59</f>
        <v>1722798594.6287513</v>
      </c>
    </row>
    <row r="59" spans="1:32" x14ac:dyDescent="0.25">
      <c r="F59" s="3" t="s">
        <v>157</v>
      </c>
      <c r="G59" s="3"/>
      <c r="H59" s="271">
        <f>+H52</f>
        <v>2502268888.0025516</v>
      </c>
      <c r="M59" s="3" t="s">
        <v>157</v>
      </c>
      <c r="N59" s="3"/>
      <c r="O59" s="271">
        <f>+O52</f>
        <v>1000907555.2010205</v>
      </c>
      <c r="R59" s="3" t="s">
        <v>157</v>
      </c>
      <c r="S59" s="3"/>
      <c r="T59" s="271">
        <f>T52+W52+Z52+AC52+AF52</f>
        <v>1364176187.6015306</v>
      </c>
    </row>
    <row r="60" spans="1:32" x14ac:dyDescent="0.25">
      <c r="F60" s="3" t="s">
        <v>147</v>
      </c>
      <c r="G60" s="3"/>
      <c r="H60" s="271">
        <f>+G53</f>
        <v>1693762857.1151404</v>
      </c>
      <c r="M60" s="3" t="s">
        <v>147</v>
      </c>
      <c r="N60" s="3"/>
      <c r="O60" s="271">
        <f>+N53</f>
        <v>451670095.23070431</v>
      </c>
      <c r="R60" s="3" t="s">
        <v>147</v>
      </c>
      <c r="S60" s="3"/>
      <c r="T60" s="271">
        <f>S53+V53+AB53+AE53</f>
        <v>343336768.15379149</v>
      </c>
    </row>
    <row r="61" spans="1:32" x14ac:dyDescent="0.25">
      <c r="F61" s="3" t="s">
        <v>158</v>
      </c>
      <c r="G61" s="3"/>
      <c r="H61" s="271">
        <f>+H59-H60</f>
        <v>808506030.88741112</v>
      </c>
      <c r="M61" s="3" t="s">
        <v>158</v>
      </c>
      <c r="N61" s="3"/>
      <c r="O61" s="271">
        <f>+O59-O60</f>
        <v>549237459.97031617</v>
      </c>
      <c r="R61" s="3" t="s">
        <v>158</v>
      </c>
      <c r="S61" s="3"/>
      <c r="T61" s="271">
        <f>+T59-T60</f>
        <v>1020839419.4477391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E40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2.71093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774" t="s">
        <v>154</v>
      </c>
      <c r="B1" s="775"/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775"/>
      <c r="N1" s="775"/>
      <c r="O1" s="775"/>
      <c r="P1" s="775"/>
      <c r="Q1" s="775"/>
      <c r="R1" s="775"/>
      <c r="S1" s="775"/>
      <c r="T1" s="775"/>
      <c r="U1" s="775"/>
      <c r="V1" s="775"/>
      <c r="W1" s="775"/>
      <c r="X1" s="775"/>
      <c r="Y1" s="775"/>
      <c r="Z1" s="775"/>
      <c r="AA1" s="775"/>
      <c r="AB1" s="775"/>
      <c r="AC1" s="775"/>
      <c r="AD1" s="775"/>
      <c r="AE1" s="775"/>
      <c r="AF1" s="776"/>
    </row>
    <row r="2" spans="1:32" ht="24" thickBot="1" x14ac:dyDescent="0.3">
      <c r="D2" s="80"/>
      <c r="E2" s="80"/>
      <c r="F2" s="777" t="s">
        <v>125</v>
      </c>
      <c r="G2" s="778"/>
      <c r="H2" s="778"/>
      <c r="I2" s="778"/>
      <c r="J2" s="778"/>
      <c r="K2" s="778"/>
      <c r="L2" s="779"/>
      <c r="M2" s="780" t="s">
        <v>126</v>
      </c>
      <c r="N2" s="781"/>
      <c r="O2" s="781"/>
      <c r="P2" s="781"/>
      <c r="Q2" s="782"/>
      <c r="R2" s="783" t="s">
        <v>127</v>
      </c>
      <c r="S2" s="784"/>
      <c r="T2" s="784"/>
      <c r="U2" s="784"/>
      <c r="V2" s="784"/>
      <c r="W2" s="784"/>
      <c r="X2" s="784"/>
      <c r="Y2" s="784"/>
      <c r="Z2" s="784"/>
      <c r="AA2" s="784"/>
      <c r="AB2" s="784"/>
      <c r="AC2" s="784"/>
      <c r="AD2" s="784"/>
      <c r="AE2" s="784"/>
      <c r="AF2" s="785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+pronostico!N3*50%</f>
        <v>87467.212683949736</v>
      </c>
      <c r="G4" s="137">
        <f>F4*D4</f>
        <v>429464014.27819318</v>
      </c>
      <c r="H4" s="138">
        <f>G4*E4</f>
        <v>171785605.71127728</v>
      </c>
      <c r="I4" s="137">
        <f>+F4*50%</f>
        <v>43733.606341974868</v>
      </c>
      <c r="J4" s="139">
        <f>+F4*30%</f>
        <v>26240.163805184919</v>
      </c>
      <c r="K4" s="167">
        <f t="shared" ref="K4:K51" si="0">+F4*10%</f>
        <v>8746.7212683949747</v>
      </c>
      <c r="L4" s="168">
        <f t="shared" ref="L4:L18" si="1">+F4*10%</f>
        <v>8746.7212683949747</v>
      </c>
      <c r="M4" s="169">
        <f>+pronostico!N3*20%</f>
        <v>34986.885073579899</v>
      </c>
      <c r="N4" s="170">
        <f t="shared" ref="N4:N51" si="2">M4*D4</f>
        <v>171785605.71127731</v>
      </c>
      <c r="O4" s="171">
        <f t="shared" ref="O4:O51" si="3">N4*E4</f>
        <v>68714242.284510925</v>
      </c>
      <c r="P4" s="170">
        <f>+M4*50%</f>
        <v>17493.442536789949</v>
      </c>
      <c r="Q4" s="172">
        <f>+M4*50%</f>
        <v>17493.442536789949</v>
      </c>
      <c r="R4" s="173">
        <f>+pronostico!N3*8%</f>
        <v>13994.754029431959</v>
      </c>
      <c r="S4" s="174">
        <f t="shared" ref="S4:S51" si="4">R4*D4</f>
        <v>68714242.284510911</v>
      </c>
      <c r="T4" s="175">
        <f t="shared" ref="T4:T51" si="5">S4*E4</f>
        <v>27485696.913804367</v>
      </c>
      <c r="U4" s="173">
        <f>+pronostico!N3*8%</f>
        <v>13994.754029431959</v>
      </c>
      <c r="V4" s="176">
        <f t="shared" ref="V4:V35" si="6">U4*D4</f>
        <v>68714242.284510911</v>
      </c>
      <c r="W4" s="177">
        <f t="shared" ref="W4:W35" si="7">V4*E4</f>
        <v>27485696.913804367</v>
      </c>
      <c r="X4" s="173">
        <f>+pronostico!N3*2%</f>
        <v>3498.6885073579897</v>
      </c>
      <c r="Y4" s="178">
        <f t="shared" ref="Y4:Y51" si="8">X4*D4</f>
        <v>17178560.571127728</v>
      </c>
      <c r="Z4" s="178">
        <f t="shared" ref="Z4:Z51" si="9">Y4*E4</f>
        <v>6871424.2284510918</v>
      </c>
      <c r="AA4" s="173">
        <f>+pronostico!N3*2%</f>
        <v>3498.6885073579897</v>
      </c>
      <c r="AB4" s="176">
        <f t="shared" ref="AB4:AB51" si="10">AA4*D4</f>
        <v>17178560.571127728</v>
      </c>
      <c r="AC4" s="177">
        <f t="shared" ref="AC4:AC51" si="11">AB4*E4</f>
        <v>6871424.2284510918</v>
      </c>
      <c r="AD4" s="173">
        <f>+pronostico!N3*10%</f>
        <v>17493.442536789949</v>
      </c>
      <c r="AE4" s="176">
        <f>+AD4*D4</f>
        <v>85892802.855638653</v>
      </c>
      <c r="AF4" s="177">
        <f>+AE4*E4</f>
        <v>34357121.142255463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+pronostico!N4*50%</f>
        <v>60499.600366017228</v>
      </c>
      <c r="G5" s="137">
        <f t="shared" ref="G5:H51" si="13">F5*D5</f>
        <v>297053037.79714459</v>
      </c>
      <c r="H5" s="138">
        <f t="shared" si="13"/>
        <v>118821215.11885785</v>
      </c>
      <c r="I5" s="137">
        <f t="shared" ref="I5:I20" si="14">+F5*50%</f>
        <v>30249.800183008614</v>
      </c>
      <c r="J5" s="139">
        <f t="shared" ref="J5:J51" si="15">+F5*30%</f>
        <v>18149.880109805166</v>
      </c>
      <c r="K5" s="167">
        <f t="shared" si="0"/>
        <v>6049.960036601723</v>
      </c>
      <c r="L5" s="168">
        <f t="shared" si="1"/>
        <v>6049.960036601723</v>
      </c>
      <c r="M5" s="169">
        <f>+pronostico!N4*20%</f>
        <v>24199.840146406892</v>
      </c>
      <c r="N5" s="170">
        <f t="shared" si="2"/>
        <v>118821215.11885785</v>
      </c>
      <c r="O5" s="171">
        <f t="shared" si="3"/>
        <v>47528486.047543138</v>
      </c>
      <c r="P5" s="170">
        <f t="shared" ref="P5:P51" si="16">+M5*50%</f>
        <v>12099.920073203446</v>
      </c>
      <c r="Q5" s="172">
        <f t="shared" ref="Q5:Q51" si="17">+M5*50%</f>
        <v>12099.920073203446</v>
      </c>
      <c r="R5" s="173">
        <f>+pronostico!N4*8%</f>
        <v>9679.9360585627564</v>
      </c>
      <c r="S5" s="174">
        <f t="shared" si="4"/>
        <v>47528486.047543131</v>
      </c>
      <c r="T5" s="175">
        <f t="shared" si="5"/>
        <v>19011394.419017252</v>
      </c>
      <c r="U5" s="173">
        <f>+pronostico!N4*8%</f>
        <v>9679.9360585627564</v>
      </c>
      <c r="V5" s="176">
        <f t="shared" si="6"/>
        <v>47528486.047543131</v>
      </c>
      <c r="W5" s="177">
        <f t="shared" si="7"/>
        <v>19011394.419017252</v>
      </c>
      <c r="X5" s="173">
        <f>+pronostico!N4*2%</f>
        <v>2419.9840146406891</v>
      </c>
      <c r="Y5" s="178">
        <f t="shared" si="8"/>
        <v>11882121.511885783</v>
      </c>
      <c r="Z5" s="178">
        <f t="shared" si="9"/>
        <v>4752848.6047543129</v>
      </c>
      <c r="AA5" s="173">
        <f>+pronostico!N4*2%</f>
        <v>2419.9840146406891</v>
      </c>
      <c r="AB5" s="179">
        <f t="shared" si="10"/>
        <v>11882121.511885783</v>
      </c>
      <c r="AC5" s="180">
        <f t="shared" si="11"/>
        <v>4752848.6047543129</v>
      </c>
      <c r="AD5" s="173">
        <f>+pronostico!N4*10%</f>
        <v>12099.920073203446</v>
      </c>
      <c r="AE5" s="176">
        <f t="shared" ref="AE5:AF20" si="18">+AD5*D5</f>
        <v>59410607.559428923</v>
      </c>
      <c r="AF5" s="177">
        <f t="shared" si="18"/>
        <v>23764243.023771569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+pronostico!N5*50%</f>
        <v>18222.335975822865</v>
      </c>
      <c r="G6" s="137">
        <f t="shared" si="13"/>
        <v>109334015.8549372</v>
      </c>
      <c r="H6" s="138">
        <f t="shared" si="13"/>
        <v>43733606.341974884</v>
      </c>
      <c r="I6" s="137">
        <f t="shared" si="14"/>
        <v>9111.1679879114326</v>
      </c>
      <c r="J6" s="139">
        <f t="shared" si="15"/>
        <v>5466.7007927468594</v>
      </c>
      <c r="K6" s="167">
        <f t="shared" si="0"/>
        <v>1822.2335975822866</v>
      </c>
      <c r="L6" s="168">
        <f t="shared" si="1"/>
        <v>1822.2335975822866</v>
      </c>
      <c r="M6" s="169">
        <f>+pronostico!N5*20%</f>
        <v>7288.9343903291465</v>
      </c>
      <c r="N6" s="170">
        <f t="shared" si="2"/>
        <v>43733606.341974877</v>
      </c>
      <c r="O6" s="171">
        <f t="shared" si="3"/>
        <v>17493442.53678995</v>
      </c>
      <c r="P6" s="170">
        <f t="shared" si="16"/>
        <v>3644.4671951645732</v>
      </c>
      <c r="Q6" s="172">
        <f t="shared" si="17"/>
        <v>3644.4671951645732</v>
      </c>
      <c r="R6" s="173">
        <f>+pronostico!N5*8%</f>
        <v>2915.5737561316587</v>
      </c>
      <c r="S6" s="174">
        <f t="shared" si="4"/>
        <v>17493442.536789954</v>
      </c>
      <c r="T6" s="175">
        <f t="shared" si="5"/>
        <v>6997377.0147159817</v>
      </c>
      <c r="U6" s="173">
        <f>+pronostico!N5*8%</f>
        <v>2915.5737561316587</v>
      </c>
      <c r="V6" s="176">
        <f t="shared" si="6"/>
        <v>17493442.536789954</v>
      </c>
      <c r="W6" s="177">
        <f t="shared" si="7"/>
        <v>6997377.0147159817</v>
      </c>
      <c r="X6" s="173">
        <f>+pronostico!N5*2%</f>
        <v>728.89343903291467</v>
      </c>
      <c r="Y6" s="178">
        <f t="shared" si="8"/>
        <v>4373360.6341974884</v>
      </c>
      <c r="Z6" s="178">
        <f t="shared" si="9"/>
        <v>1749344.2536789954</v>
      </c>
      <c r="AA6" s="173">
        <f>+pronostico!N5*2%</f>
        <v>728.89343903291467</v>
      </c>
      <c r="AB6" s="179">
        <f t="shared" si="10"/>
        <v>4373360.6341974884</v>
      </c>
      <c r="AC6" s="180">
        <f t="shared" si="11"/>
        <v>1749344.2536789954</v>
      </c>
      <c r="AD6" s="173">
        <f>+pronostico!N5*10%</f>
        <v>3644.4671951645732</v>
      </c>
      <c r="AE6" s="176">
        <f t="shared" si="18"/>
        <v>21866803.170987438</v>
      </c>
      <c r="AF6" s="177">
        <f t="shared" si="18"/>
        <v>8746721.268394975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+pronostico!N6*50%</f>
        <v>34112.212946740401</v>
      </c>
      <c r="G7" s="137">
        <f t="shared" si="13"/>
        <v>174995652.41677827</v>
      </c>
      <c r="H7" s="138">
        <f t="shared" si="13"/>
        <v>69998260.966711313</v>
      </c>
      <c r="I7" s="137">
        <f t="shared" si="14"/>
        <v>17056.106473370201</v>
      </c>
      <c r="J7" s="139">
        <f t="shared" si="15"/>
        <v>10233.66388402212</v>
      </c>
      <c r="K7" s="167">
        <f t="shared" si="0"/>
        <v>3411.2212946740401</v>
      </c>
      <c r="L7" s="168">
        <f t="shared" si="1"/>
        <v>3411.2212946740401</v>
      </c>
      <c r="M7" s="169">
        <f>+pronostico!N6*20%</f>
        <v>13644.88517869616</v>
      </c>
      <c r="N7" s="170">
        <f t="shared" si="2"/>
        <v>69998260.966711298</v>
      </c>
      <c r="O7" s="171">
        <f t="shared" si="3"/>
        <v>27999304.386684522</v>
      </c>
      <c r="P7" s="170">
        <f t="shared" si="16"/>
        <v>6822.4425893480802</v>
      </c>
      <c r="Q7" s="172">
        <f t="shared" si="17"/>
        <v>6822.4425893480802</v>
      </c>
      <c r="R7" s="173">
        <f>+pronostico!N6*8%</f>
        <v>5457.9540714784644</v>
      </c>
      <c r="S7" s="174">
        <f t="shared" si="4"/>
        <v>27999304.386684522</v>
      </c>
      <c r="T7" s="175">
        <f t="shared" si="5"/>
        <v>11199721.754673809</v>
      </c>
      <c r="U7" s="173">
        <f>+pronostico!N6*8%</f>
        <v>5457.9540714784644</v>
      </c>
      <c r="V7" s="176">
        <f t="shared" si="6"/>
        <v>27999304.386684522</v>
      </c>
      <c r="W7" s="177">
        <f t="shared" si="7"/>
        <v>11199721.754673809</v>
      </c>
      <c r="X7" s="173">
        <f>+pronostico!N6*2%</f>
        <v>1364.4885178696161</v>
      </c>
      <c r="Y7" s="178">
        <f t="shared" si="8"/>
        <v>6999826.0966711305</v>
      </c>
      <c r="Z7" s="178">
        <f t="shared" si="9"/>
        <v>2799930.4386684522</v>
      </c>
      <c r="AA7" s="173">
        <f>+pronostico!N6*2%</f>
        <v>1364.4885178696161</v>
      </c>
      <c r="AB7" s="179">
        <f t="shared" si="10"/>
        <v>6999826.0966711305</v>
      </c>
      <c r="AC7" s="180">
        <f t="shared" si="11"/>
        <v>2799930.4386684522</v>
      </c>
      <c r="AD7" s="173">
        <f>+pronostico!N6*10%</f>
        <v>6822.4425893480802</v>
      </c>
      <c r="AE7" s="176">
        <f t="shared" si="18"/>
        <v>34999130.483355649</v>
      </c>
      <c r="AF7" s="177">
        <f t="shared" si="18"/>
        <v>13999652.193342261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+pronostico!N7*50%</f>
        <v>25127.259169981768</v>
      </c>
      <c r="G8" s="137">
        <f t="shared" si="13"/>
        <v>214838065.90334412</v>
      </c>
      <c r="H8" s="138">
        <f t="shared" si="13"/>
        <v>85935226.361337662</v>
      </c>
      <c r="I8" s="137">
        <f t="shared" si="14"/>
        <v>12563.629584990884</v>
      </c>
      <c r="J8" s="139">
        <f t="shared" si="15"/>
        <v>7538.1777509945296</v>
      </c>
      <c r="K8" s="167">
        <f t="shared" si="0"/>
        <v>2512.7259169981771</v>
      </c>
      <c r="L8" s="168">
        <f t="shared" si="1"/>
        <v>2512.7259169981771</v>
      </c>
      <c r="M8" s="169">
        <f>+pronostico!N7*20%</f>
        <v>10050.903667992709</v>
      </c>
      <c r="N8" s="170">
        <f t="shared" si="2"/>
        <v>85935226.361337662</v>
      </c>
      <c r="O8" s="171">
        <f t="shared" si="3"/>
        <v>34374090.544535063</v>
      </c>
      <c r="P8" s="170">
        <f t="shared" si="16"/>
        <v>5025.4518339963543</v>
      </c>
      <c r="Q8" s="172">
        <f t="shared" si="17"/>
        <v>5025.4518339963543</v>
      </c>
      <c r="R8" s="173">
        <f>+pronostico!N7*8%</f>
        <v>4020.3614671970831</v>
      </c>
      <c r="S8" s="174">
        <f t="shared" si="4"/>
        <v>34374090.544535063</v>
      </c>
      <c r="T8" s="175">
        <f t="shared" si="5"/>
        <v>13749636.217814026</v>
      </c>
      <c r="U8" s="173">
        <f>+pronostico!N7*8%</f>
        <v>4020.3614671970831</v>
      </c>
      <c r="V8" s="176">
        <f t="shared" si="6"/>
        <v>34374090.544535063</v>
      </c>
      <c r="W8" s="177">
        <f t="shared" si="7"/>
        <v>13749636.217814026</v>
      </c>
      <c r="X8" s="173">
        <f>+pronostico!N7*2%</f>
        <v>1005.0903667992708</v>
      </c>
      <c r="Y8" s="178">
        <f t="shared" si="8"/>
        <v>8593522.6361337658</v>
      </c>
      <c r="Z8" s="178">
        <f t="shared" si="9"/>
        <v>3437409.0544535066</v>
      </c>
      <c r="AA8" s="173">
        <f>+pronostico!N7*2%</f>
        <v>1005.0903667992708</v>
      </c>
      <c r="AB8" s="179">
        <f t="shared" si="10"/>
        <v>8593522.6361337658</v>
      </c>
      <c r="AC8" s="180">
        <f t="shared" si="11"/>
        <v>3437409.0544535066</v>
      </c>
      <c r="AD8" s="173">
        <f>+pronostico!N7*10%</f>
        <v>5025.4518339963543</v>
      </c>
      <c r="AE8" s="176">
        <f t="shared" si="18"/>
        <v>42967613.180668831</v>
      </c>
      <c r="AF8" s="177">
        <f t="shared" si="18"/>
        <v>17187045.272267532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+pronostico!N8*50%</f>
        <v>28104.419144879543</v>
      </c>
      <c r="G9" s="137">
        <f t="shared" si="13"/>
        <v>283854633.3632834</v>
      </c>
      <c r="H9" s="138">
        <f t="shared" si="13"/>
        <v>113541853.34531337</v>
      </c>
      <c r="I9" s="137">
        <f t="shared" si="14"/>
        <v>14052.209572439771</v>
      </c>
      <c r="J9" s="139">
        <f t="shared" si="15"/>
        <v>8431.3257434638617</v>
      </c>
      <c r="K9" s="167">
        <f t="shared" si="0"/>
        <v>2810.4419144879544</v>
      </c>
      <c r="L9" s="168">
        <f t="shared" si="1"/>
        <v>2810.4419144879544</v>
      </c>
      <c r="M9" s="169">
        <f>+pronostico!N8*20%</f>
        <v>11241.767657951817</v>
      </c>
      <c r="N9" s="170">
        <f t="shared" si="2"/>
        <v>113541853.34531336</v>
      </c>
      <c r="O9" s="171">
        <f t="shared" si="3"/>
        <v>45416741.338125348</v>
      </c>
      <c r="P9" s="170">
        <f t="shared" si="16"/>
        <v>5620.8838289759087</v>
      </c>
      <c r="Q9" s="172">
        <f t="shared" si="17"/>
        <v>5620.8838289759087</v>
      </c>
      <c r="R9" s="173">
        <f>+pronostico!N8*8%</f>
        <v>4496.7070631807273</v>
      </c>
      <c r="S9" s="174">
        <f t="shared" si="4"/>
        <v>45416741.338125348</v>
      </c>
      <c r="T9" s="175">
        <f t="shared" si="5"/>
        <v>18166696.535250138</v>
      </c>
      <c r="U9" s="173">
        <f>+pronostico!N8*8%</f>
        <v>4496.7070631807273</v>
      </c>
      <c r="V9" s="176">
        <f t="shared" si="6"/>
        <v>45416741.338125348</v>
      </c>
      <c r="W9" s="177">
        <f t="shared" si="7"/>
        <v>18166696.535250138</v>
      </c>
      <c r="X9" s="173">
        <f>+pronostico!N8*2%</f>
        <v>1124.1767657951818</v>
      </c>
      <c r="Y9" s="178">
        <f t="shared" si="8"/>
        <v>11354185.334531337</v>
      </c>
      <c r="Z9" s="178">
        <f t="shared" si="9"/>
        <v>4541674.1338125346</v>
      </c>
      <c r="AA9" s="173">
        <f>+pronostico!N8*2%</f>
        <v>1124.1767657951818</v>
      </c>
      <c r="AB9" s="179">
        <f t="shared" si="10"/>
        <v>11354185.334531337</v>
      </c>
      <c r="AC9" s="180">
        <f t="shared" si="11"/>
        <v>4541674.1338125346</v>
      </c>
      <c r="AD9" s="173">
        <f>+pronostico!N8*10%</f>
        <v>5620.8838289759087</v>
      </c>
      <c r="AE9" s="176">
        <f t="shared" si="18"/>
        <v>56770926.672656678</v>
      </c>
      <c r="AF9" s="177">
        <f t="shared" si="18"/>
        <v>22708370.669062674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+pronostico!N9*50%</f>
        <v>34303.861675102562</v>
      </c>
      <c r="G10" s="137">
        <f t="shared" si="13"/>
        <v>80271036.319739997</v>
      </c>
      <c r="H10" s="138">
        <f t="shared" si="13"/>
        <v>40135518.159869999</v>
      </c>
      <c r="I10" s="137">
        <f t="shared" si="14"/>
        <v>17151.930837551281</v>
      </c>
      <c r="J10" s="139">
        <f t="shared" si="15"/>
        <v>10291.158502530769</v>
      </c>
      <c r="K10" s="167">
        <f t="shared" si="0"/>
        <v>3430.3861675102562</v>
      </c>
      <c r="L10" s="168">
        <f t="shared" si="1"/>
        <v>3430.3861675102562</v>
      </c>
      <c r="M10" s="169">
        <f>+pronostico!N9*20%</f>
        <v>13721.544670041025</v>
      </c>
      <c r="N10" s="170">
        <f t="shared" si="2"/>
        <v>32108414.527895998</v>
      </c>
      <c r="O10" s="171">
        <f t="shared" si="3"/>
        <v>16054207.263947999</v>
      </c>
      <c r="P10" s="170">
        <f t="shared" si="16"/>
        <v>6860.7723350205124</v>
      </c>
      <c r="Q10" s="172">
        <f t="shared" si="17"/>
        <v>6860.7723350205124</v>
      </c>
      <c r="R10" s="173">
        <f>+pronostico!N9*8%</f>
        <v>5488.6178680164103</v>
      </c>
      <c r="S10" s="174">
        <f t="shared" si="4"/>
        <v>12843365.8111584</v>
      </c>
      <c r="T10" s="175">
        <f t="shared" si="5"/>
        <v>6421682.9055792</v>
      </c>
      <c r="U10" s="173">
        <f>+pronostico!N9*8%</f>
        <v>5488.6178680164103</v>
      </c>
      <c r="V10" s="176">
        <f t="shared" si="6"/>
        <v>12843365.8111584</v>
      </c>
      <c r="W10" s="177">
        <f t="shared" si="7"/>
        <v>6421682.9055792</v>
      </c>
      <c r="X10" s="173">
        <f>+pronostico!N9*2%</f>
        <v>1372.1544670041026</v>
      </c>
      <c r="Y10" s="178">
        <f t="shared" si="8"/>
        <v>3210841.4527896</v>
      </c>
      <c r="Z10" s="178">
        <f t="shared" si="9"/>
        <v>1605420.7263948</v>
      </c>
      <c r="AA10" s="173">
        <f>+pronostico!N9*2%</f>
        <v>1372.1544670041026</v>
      </c>
      <c r="AB10" s="179">
        <f t="shared" si="10"/>
        <v>3210841.4527896</v>
      </c>
      <c r="AC10" s="180">
        <f t="shared" si="11"/>
        <v>1605420.7263948</v>
      </c>
      <c r="AD10" s="173">
        <f>+pronostico!N9*10%</f>
        <v>6860.7723350205124</v>
      </c>
      <c r="AE10" s="176">
        <f t="shared" si="18"/>
        <v>16054207.263947999</v>
      </c>
      <c r="AF10" s="177">
        <f t="shared" si="18"/>
        <v>8027103.6319739996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+pronostico!N10*50%</f>
        <v>14497.060641889606</v>
      </c>
      <c r="G11" s="137">
        <f t="shared" si="13"/>
        <v>33923121.902021676</v>
      </c>
      <c r="H11" s="138">
        <f t="shared" si="13"/>
        <v>16961560.951010838</v>
      </c>
      <c r="I11" s="137">
        <f t="shared" si="14"/>
        <v>7248.530320944803</v>
      </c>
      <c r="J11" s="139">
        <f t="shared" si="15"/>
        <v>4349.1181925668816</v>
      </c>
      <c r="K11" s="167">
        <f t="shared" si="0"/>
        <v>1449.7060641889607</v>
      </c>
      <c r="L11" s="168">
        <f t="shared" si="1"/>
        <v>1449.7060641889607</v>
      </c>
      <c r="M11" s="169">
        <f>+pronostico!N10*20%</f>
        <v>5798.8242567558427</v>
      </c>
      <c r="N11" s="170">
        <f t="shared" si="2"/>
        <v>13569248.760808673</v>
      </c>
      <c r="O11" s="171">
        <f t="shared" si="3"/>
        <v>6784624.3804043364</v>
      </c>
      <c r="P11" s="170">
        <f t="shared" si="16"/>
        <v>2899.4121283779214</v>
      </c>
      <c r="Q11" s="172">
        <f t="shared" si="17"/>
        <v>2899.4121283779214</v>
      </c>
      <c r="R11" s="173">
        <f>+pronostico!N10*8%</f>
        <v>2319.5297027023371</v>
      </c>
      <c r="S11" s="174">
        <f t="shared" si="4"/>
        <v>5427699.5043234685</v>
      </c>
      <c r="T11" s="175">
        <f t="shared" si="5"/>
        <v>2713849.7521617343</v>
      </c>
      <c r="U11" s="173">
        <f>+pronostico!N10*8%</f>
        <v>2319.5297027023371</v>
      </c>
      <c r="V11" s="176">
        <f t="shared" si="6"/>
        <v>5427699.5043234685</v>
      </c>
      <c r="W11" s="177">
        <f t="shared" si="7"/>
        <v>2713849.7521617343</v>
      </c>
      <c r="X11" s="173">
        <f>+pronostico!N10*2%</f>
        <v>579.88242567558427</v>
      </c>
      <c r="Y11" s="178">
        <f t="shared" si="8"/>
        <v>1356924.8760808671</v>
      </c>
      <c r="Z11" s="178">
        <f t="shared" si="9"/>
        <v>678462.43804043357</v>
      </c>
      <c r="AA11" s="173">
        <f>+pronostico!N10*2%</f>
        <v>579.88242567558427</v>
      </c>
      <c r="AB11" s="179">
        <f t="shared" si="10"/>
        <v>1356924.8760808671</v>
      </c>
      <c r="AC11" s="180">
        <f t="shared" si="11"/>
        <v>678462.43804043357</v>
      </c>
      <c r="AD11" s="173">
        <f>+pronostico!N10*10%</f>
        <v>2899.4121283779214</v>
      </c>
      <c r="AE11" s="176">
        <f t="shared" si="18"/>
        <v>6784624.3804043364</v>
      </c>
      <c r="AF11" s="177">
        <f t="shared" si="18"/>
        <v>3392312.1902021682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+pronostico!N11*50%</f>
        <v>57478.68879713997</v>
      </c>
      <c r="G12" s="137">
        <f t="shared" si="13"/>
        <v>128752262.90559353</v>
      </c>
      <c r="H12" s="138">
        <f t="shared" si="13"/>
        <v>64376131.452796765</v>
      </c>
      <c r="I12" s="137">
        <f t="shared" si="14"/>
        <v>28739.344398569985</v>
      </c>
      <c r="J12" s="139">
        <f t="shared" si="15"/>
        <v>17243.606639141992</v>
      </c>
      <c r="K12" s="167">
        <f t="shared" si="0"/>
        <v>5747.8688797139976</v>
      </c>
      <c r="L12" s="168">
        <f t="shared" si="1"/>
        <v>5747.8688797139976</v>
      </c>
      <c r="M12" s="169">
        <f>+pronostico!N11*20%</f>
        <v>22991.47551885599</v>
      </c>
      <c r="N12" s="170">
        <f t="shared" si="2"/>
        <v>51500905.162237421</v>
      </c>
      <c r="O12" s="171">
        <f t="shared" si="3"/>
        <v>25750452.58111871</v>
      </c>
      <c r="P12" s="170">
        <f t="shared" si="16"/>
        <v>11495.737759427995</v>
      </c>
      <c r="Q12" s="172">
        <f t="shared" si="17"/>
        <v>11495.737759427995</v>
      </c>
      <c r="R12" s="173">
        <f>+pronostico!N11*8%</f>
        <v>9196.5902075423946</v>
      </c>
      <c r="S12" s="174">
        <f t="shared" si="4"/>
        <v>20600362.064894963</v>
      </c>
      <c r="T12" s="175">
        <f t="shared" si="5"/>
        <v>10300181.032447482</v>
      </c>
      <c r="U12" s="173">
        <f>+pronostico!N11*8%</f>
        <v>9196.5902075423946</v>
      </c>
      <c r="V12" s="176">
        <f t="shared" si="6"/>
        <v>20600362.064894963</v>
      </c>
      <c r="W12" s="177">
        <f t="shared" si="7"/>
        <v>10300181.032447482</v>
      </c>
      <c r="X12" s="173">
        <f>+pronostico!N11*2%</f>
        <v>2299.1475518855987</v>
      </c>
      <c r="Y12" s="178">
        <f t="shared" si="8"/>
        <v>5150090.5162237408</v>
      </c>
      <c r="Z12" s="178">
        <f t="shared" si="9"/>
        <v>2575045.2581118704</v>
      </c>
      <c r="AA12" s="173">
        <f>+pronostico!N11*2%</f>
        <v>2299.1475518855987</v>
      </c>
      <c r="AB12" s="179">
        <f t="shared" si="10"/>
        <v>5150090.5162237408</v>
      </c>
      <c r="AC12" s="180">
        <f t="shared" si="11"/>
        <v>2575045.2581118704</v>
      </c>
      <c r="AD12" s="173">
        <f>+pronostico!N11*10%</f>
        <v>11495.737759427995</v>
      </c>
      <c r="AE12" s="176">
        <f t="shared" si="18"/>
        <v>25750452.58111871</v>
      </c>
      <c r="AF12" s="177">
        <f t="shared" si="18"/>
        <v>12875226.290559355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+pronostico!N12*50%</f>
        <v>47007.614688527501</v>
      </c>
      <c r="G13" s="137">
        <f t="shared" si="13"/>
        <v>108117513.78361325</v>
      </c>
      <c r="H13" s="138">
        <f t="shared" si="13"/>
        <v>54058756.891806625</v>
      </c>
      <c r="I13" s="137">
        <f t="shared" si="14"/>
        <v>23503.807344263751</v>
      </c>
      <c r="J13" s="139">
        <f t="shared" si="15"/>
        <v>14102.28440655825</v>
      </c>
      <c r="K13" s="167">
        <f t="shared" si="0"/>
        <v>4700.7614688527501</v>
      </c>
      <c r="L13" s="168">
        <f t="shared" si="1"/>
        <v>4700.7614688527501</v>
      </c>
      <c r="M13" s="169">
        <f>+pronostico!N12*20%</f>
        <v>18803.045875411</v>
      </c>
      <c r="N13" s="170">
        <f t="shared" si="2"/>
        <v>43247005.513445303</v>
      </c>
      <c r="O13" s="171">
        <f t="shared" si="3"/>
        <v>21623502.756722651</v>
      </c>
      <c r="P13" s="170">
        <f t="shared" si="16"/>
        <v>9401.5229377055002</v>
      </c>
      <c r="Q13" s="172">
        <f t="shared" si="17"/>
        <v>9401.5229377055002</v>
      </c>
      <c r="R13" s="173">
        <f>+pronostico!N12*8%</f>
        <v>7521.2183501644004</v>
      </c>
      <c r="S13" s="174">
        <f t="shared" si="4"/>
        <v>17298802.205378123</v>
      </c>
      <c r="T13" s="175">
        <f t="shared" si="5"/>
        <v>8649401.1026890613</v>
      </c>
      <c r="U13" s="173">
        <f>+pronostico!N12*8%</f>
        <v>7521.2183501644004</v>
      </c>
      <c r="V13" s="176">
        <f t="shared" si="6"/>
        <v>17298802.205378123</v>
      </c>
      <c r="W13" s="177">
        <f t="shared" si="7"/>
        <v>8649401.1026890613</v>
      </c>
      <c r="X13" s="173">
        <f>+pronostico!N12*2%</f>
        <v>1880.3045875411001</v>
      </c>
      <c r="Y13" s="178">
        <f t="shared" si="8"/>
        <v>4324700.5513445307</v>
      </c>
      <c r="Z13" s="178">
        <f t="shared" si="9"/>
        <v>2162350.2756722653</v>
      </c>
      <c r="AA13" s="173">
        <f>+pronostico!N12*2%</f>
        <v>1880.3045875411001</v>
      </c>
      <c r="AB13" s="179">
        <f t="shared" si="10"/>
        <v>4324700.5513445307</v>
      </c>
      <c r="AC13" s="180">
        <f t="shared" si="11"/>
        <v>2162350.2756722653</v>
      </c>
      <c r="AD13" s="173">
        <f>+pronostico!N12*10%</f>
        <v>9401.5229377055002</v>
      </c>
      <c r="AE13" s="176">
        <f t="shared" si="18"/>
        <v>21623502.756722651</v>
      </c>
      <c r="AF13" s="177">
        <f t="shared" si="18"/>
        <v>10811751.378361326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+pronostico!N13*50%</f>
        <v>30339.284752315627</v>
      </c>
      <c r="G14" s="137">
        <f t="shared" si="13"/>
        <v>38227498.787917688</v>
      </c>
      <c r="H14" s="138">
        <f t="shared" si="13"/>
        <v>19113749.393958844</v>
      </c>
      <c r="I14" s="137">
        <f t="shared" si="14"/>
        <v>15169.642376157813</v>
      </c>
      <c r="J14" s="139">
        <f t="shared" si="15"/>
        <v>9101.7854256946885</v>
      </c>
      <c r="K14" s="167">
        <f t="shared" si="0"/>
        <v>3033.928475231563</v>
      </c>
      <c r="L14" s="168">
        <f t="shared" si="1"/>
        <v>3033.928475231563</v>
      </c>
      <c r="M14" s="169">
        <f>+pronostico!N13*20%</f>
        <v>12135.713900926252</v>
      </c>
      <c r="N14" s="170">
        <f t="shared" si="2"/>
        <v>15290999.515167078</v>
      </c>
      <c r="O14" s="171">
        <f t="shared" si="3"/>
        <v>7645499.757583539</v>
      </c>
      <c r="P14" s="170">
        <f t="shared" si="16"/>
        <v>6067.8569504631259</v>
      </c>
      <c r="Q14" s="172">
        <f t="shared" si="17"/>
        <v>6067.8569504631259</v>
      </c>
      <c r="R14" s="173">
        <f>+pronostico!N13*8%</f>
        <v>4854.2855603705002</v>
      </c>
      <c r="S14" s="174">
        <f t="shared" si="4"/>
        <v>6116399.8060668306</v>
      </c>
      <c r="T14" s="175">
        <f t="shared" si="5"/>
        <v>3058199.9030334153</v>
      </c>
      <c r="U14" s="173">
        <f>+pronostico!N13*8%</f>
        <v>4854.2855603705002</v>
      </c>
      <c r="V14" s="176">
        <f t="shared" si="6"/>
        <v>6116399.8060668306</v>
      </c>
      <c r="W14" s="177">
        <f t="shared" si="7"/>
        <v>3058199.9030334153</v>
      </c>
      <c r="X14" s="173">
        <f>+pronostico!N13*2%</f>
        <v>1213.5713900926251</v>
      </c>
      <c r="Y14" s="178">
        <f t="shared" si="8"/>
        <v>1529099.9515167077</v>
      </c>
      <c r="Z14" s="178">
        <f t="shared" si="9"/>
        <v>764549.97575835383</v>
      </c>
      <c r="AA14" s="173">
        <f>+pronostico!N13*2%</f>
        <v>1213.5713900926251</v>
      </c>
      <c r="AB14" s="179">
        <f t="shared" si="10"/>
        <v>1529099.9515167077</v>
      </c>
      <c r="AC14" s="180">
        <f t="shared" si="11"/>
        <v>764549.97575835383</v>
      </c>
      <c r="AD14" s="173">
        <f>+pronostico!N13*10%</f>
        <v>6067.8569504631259</v>
      </c>
      <c r="AE14" s="176">
        <f t="shared" si="18"/>
        <v>7645499.757583539</v>
      </c>
      <c r="AF14" s="177">
        <f t="shared" si="18"/>
        <v>3822749.8787917695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+pronostico!N14*50%</f>
        <v>23803.544856274591</v>
      </c>
      <c r="G15" s="137">
        <f t="shared" si="13"/>
        <v>29992466.518905986</v>
      </c>
      <c r="H15" s="138">
        <f t="shared" si="13"/>
        <v>14996233.259452993</v>
      </c>
      <c r="I15" s="137">
        <f t="shared" si="14"/>
        <v>11901.772428137296</v>
      </c>
      <c r="J15" s="139">
        <f t="shared" si="15"/>
        <v>7141.0634568823771</v>
      </c>
      <c r="K15" s="167">
        <f t="shared" si="0"/>
        <v>2380.3544856274593</v>
      </c>
      <c r="L15" s="168">
        <f t="shared" si="1"/>
        <v>2380.3544856274593</v>
      </c>
      <c r="M15" s="169">
        <f>+pronostico!N14*20%</f>
        <v>9521.4179425098373</v>
      </c>
      <c r="N15" s="170">
        <f t="shared" si="2"/>
        <v>11996986.607562395</v>
      </c>
      <c r="O15" s="171">
        <f t="shared" si="3"/>
        <v>5998493.3037811974</v>
      </c>
      <c r="P15" s="170">
        <f t="shared" si="16"/>
        <v>4760.7089712549187</v>
      </c>
      <c r="Q15" s="172">
        <f t="shared" si="17"/>
        <v>4760.7089712549187</v>
      </c>
      <c r="R15" s="173">
        <f>+pronostico!N14*8%</f>
        <v>3808.5671770039348</v>
      </c>
      <c r="S15" s="174">
        <f t="shared" si="4"/>
        <v>4798794.6430249577</v>
      </c>
      <c r="T15" s="175">
        <f t="shared" si="5"/>
        <v>2399397.3215124789</v>
      </c>
      <c r="U15" s="173">
        <f>+pronostico!N14*8%</f>
        <v>3808.5671770039348</v>
      </c>
      <c r="V15" s="176">
        <f t="shared" si="6"/>
        <v>4798794.6430249577</v>
      </c>
      <c r="W15" s="177">
        <f t="shared" si="7"/>
        <v>2399397.3215124789</v>
      </c>
      <c r="X15" s="173">
        <f>+pronostico!N14*2%</f>
        <v>952.14179425098371</v>
      </c>
      <c r="Y15" s="178">
        <f t="shared" si="8"/>
        <v>1199698.6607562394</v>
      </c>
      <c r="Z15" s="178">
        <f t="shared" si="9"/>
        <v>599849.33037811972</v>
      </c>
      <c r="AA15" s="173">
        <f>+pronostico!N14*2%</f>
        <v>952.14179425098371</v>
      </c>
      <c r="AB15" s="179">
        <f t="shared" si="10"/>
        <v>1199698.6607562394</v>
      </c>
      <c r="AC15" s="180">
        <f t="shared" si="11"/>
        <v>599849.33037811972</v>
      </c>
      <c r="AD15" s="173">
        <f>+pronostico!N14*10%</f>
        <v>4760.7089712549187</v>
      </c>
      <c r="AE15" s="176">
        <f t="shared" si="18"/>
        <v>5998493.3037811974</v>
      </c>
      <c r="AF15" s="177">
        <f t="shared" si="18"/>
        <v>2999246.6518905987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+pronostico!N15*50%</f>
        <v>34798.794077354774</v>
      </c>
      <c r="G16" s="137">
        <f t="shared" si="13"/>
        <v>94304731.949631438</v>
      </c>
      <c r="H16" s="138">
        <f t="shared" si="13"/>
        <v>47152365.974815719</v>
      </c>
      <c r="I16" s="137">
        <f t="shared" si="14"/>
        <v>17399.397038677387</v>
      </c>
      <c r="J16" s="139">
        <f t="shared" si="15"/>
        <v>10439.638223206432</v>
      </c>
      <c r="K16" s="167">
        <f t="shared" si="0"/>
        <v>3479.8794077354778</v>
      </c>
      <c r="L16" s="168">
        <f t="shared" si="1"/>
        <v>3479.8794077354778</v>
      </c>
      <c r="M16" s="169">
        <f>+pronostico!N15*20%</f>
        <v>13919.517630941911</v>
      </c>
      <c r="N16" s="170">
        <f t="shared" si="2"/>
        <v>37721892.779852577</v>
      </c>
      <c r="O16" s="171">
        <f t="shared" si="3"/>
        <v>18860946.389926288</v>
      </c>
      <c r="P16" s="170">
        <f t="shared" si="16"/>
        <v>6959.7588154709556</v>
      </c>
      <c r="Q16" s="172">
        <f t="shared" si="17"/>
        <v>6959.7588154709556</v>
      </c>
      <c r="R16" s="173">
        <f>+pronostico!N15*8%</f>
        <v>5567.8070523767637</v>
      </c>
      <c r="S16" s="174">
        <f t="shared" si="4"/>
        <v>15088757.11194103</v>
      </c>
      <c r="T16" s="175">
        <f t="shared" si="5"/>
        <v>7544378.5559705151</v>
      </c>
      <c r="U16" s="173">
        <f>+pronostico!N15*8%</f>
        <v>5567.8070523767637</v>
      </c>
      <c r="V16" s="176">
        <f t="shared" si="6"/>
        <v>15088757.11194103</v>
      </c>
      <c r="W16" s="177">
        <f t="shared" si="7"/>
        <v>7544378.5559705151</v>
      </c>
      <c r="X16" s="173">
        <f>+pronostico!N15*2%</f>
        <v>1391.9517630941909</v>
      </c>
      <c r="Y16" s="178">
        <f t="shared" si="8"/>
        <v>3772189.2779852576</v>
      </c>
      <c r="Z16" s="178">
        <f t="shared" si="9"/>
        <v>1886094.6389926288</v>
      </c>
      <c r="AA16" s="173">
        <f>+pronostico!N15*2%</f>
        <v>1391.9517630941909</v>
      </c>
      <c r="AB16" s="179">
        <f t="shared" si="10"/>
        <v>3772189.2779852576</v>
      </c>
      <c r="AC16" s="180">
        <f t="shared" si="11"/>
        <v>1886094.6389926288</v>
      </c>
      <c r="AD16" s="173">
        <f>+pronostico!N15*10%</f>
        <v>6959.7588154709556</v>
      </c>
      <c r="AE16" s="176">
        <f t="shared" si="18"/>
        <v>18860946.389926288</v>
      </c>
      <c r="AF16" s="177">
        <f t="shared" si="18"/>
        <v>9430473.1949631441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+pronostico!N16*50%</f>
        <v>34287.047105628932</v>
      </c>
      <c r="G17" s="137">
        <f t="shared" si="13"/>
        <v>50744829.716330819</v>
      </c>
      <c r="H17" s="138">
        <f t="shared" si="13"/>
        <v>25372414.858165409</v>
      </c>
      <c r="I17" s="137">
        <f t="shared" si="14"/>
        <v>17143.523552814466</v>
      </c>
      <c r="J17" s="139">
        <f t="shared" si="15"/>
        <v>10286.114131688679</v>
      </c>
      <c r="K17" s="167">
        <f t="shared" si="0"/>
        <v>3428.7047105628935</v>
      </c>
      <c r="L17" s="168">
        <f t="shared" si="1"/>
        <v>3428.7047105628935</v>
      </c>
      <c r="M17" s="169">
        <f>+pronostico!N16*20%</f>
        <v>13714.818842251574</v>
      </c>
      <c r="N17" s="170">
        <f t="shared" si="2"/>
        <v>20297931.886532329</v>
      </c>
      <c r="O17" s="171">
        <f t="shared" si="3"/>
        <v>10148965.943266165</v>
      </c>
      <c r="P17" s="170">
        <f t="shared" si="16"/>
        <v>6857.409421125787</v>
      </c>
      <c r="Q17" s="172">
        <f t="shared" si="17"/>
        <v>6857.409421125787</v>
      </c>
      <c r="R17" s="173">
        <f>+pronostico!N16*8%</f>
        <v>5485.9275369006291</v>
      </c>
      <c r="S17" s="174">
        <f t="shared" si="4"/>
        <v>8119172.7546129311</v>
      </c>
      <c r="T17" s="175">
        <f t="shared" si="5"/>
        <v>4059586.3773064655</v>
      </c>
      <c r="U17" s="173">
        <f>+pronostico!N16*8%</f>
        <v>5485.9275369006291</v>
      </c>
      <c r="V17" s="176">
        <f t="shared" si="6"/>
        <v>8119172.7546129311</v>
      </c>
      <c r="W17" s="177">
        <f t="shared" si="7"/>
        <v>4059586.3773064655</v>
      </c>
      <c r="X17" s="173">
        <f>+pronostico!N16*2%</f>
        <v>1371.4818842251573</v>
      </c>
      <c r="Y17" s="178">
        <f t="shared" si="8"/>
        <v>2029793.1886532328</v>
      </c>
      <c r="Z17" s="178">
        <f t="shared" si="9"/>
        <v>1014896.5943266164</v>
      </c>
      <c r="AA17" s="173">
        <f>+pronostico!N16*2%</f>
        <v>1371.4818842251573</v>
      </c>
      <c r="AB17" s="179">
        <f t="shared" si="10"/>
        <v>2029793.1886532328</v>
      </c>
      <c r="AC17" s="180">
        <f t="shared" si="11"/>
        <v>1014896.5943266164</v>
      </c>
      <c r="AD17" s="173">
        <f>+pronostico!N16*10%</f>
        <v>6857.409421125787</v>
      </c>
      <c r="AE17" s="176">
        <f t="shared" si="18"/>
        <v>10148965.943266165</v>
      </c>
      <c r="AF17" s="177">
        <f t="shared" si="18"/>
        <v>5074482.9716330823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+pronostico!N17*50%</f>
        <v>75354.110818304005</v>
      </c>
      <c r="G18" s="137">
        <f t="shared" si="13"/>
        <v>177835701.53119746</v>
      </c>
      <c r="H18" s="138">
        <f t="shared" si="13"/>
        <v>88917850.765598729</v>
      </c>
      <c r="I18" s="137">
        <f t="shared" si="14"/>
        <v>37677.055409152003</v>
      </c>
      <c r="J18" s="139">
        <f t="shared" si="15"/>
        <v>22606.233245491199</v>
      </c>
      <c r="K18" s="167">
        <f t="shared" si="0"/>
        <v>7535.4110818304007</v>
      </c>
      <c r="L18" s="168">
        <f t="shared" si="1"/>
        <v>7535.4110818304007</v>
      </c>
      <c r="M18" s="169">
        <f>+pronostico!N17*20%</f>
        <v>30141.644327321603</v>
      </c>
      <c r="N18" s="170">
        <f t="shared" si="2"/>
        <v>71134280.612478986</v>
      </c>
      <c r="O18" s="171">
        <f t="shared" si="3"/>
        <v>35567140.306239493</v>
      </c>
      <c r="P18" s="170">
        <f t="shared" si="16"/>
        <v>15070.822163660801</v>
      </c>
      <c r="Q18" s="172">
        <f t="shared" si="17"/>
        <v>15070.822163660801</v>
      </c>
      <c r="R18" s="173">
        <f>+pronostico!N17*8%</f>
        <v>12056.65773092864</v>
      </c>
      <c r="S18" s="174">
        <f t="shared" si="4"/>
        <v>28453712.244991593</v>
      </c>
      <c r="T18" s="175">
        <f t="shared" si="5"/>
        <v>14226856.122495797</v>
      </c>
      <c r="U18" s="173">
        <f>+pronostico!N17*8%</f>
        <v>12056.65773092864</v>
      </c>
      <c r="V18" s="176">
        <f t="shared" si="6"/>
        <v>28453712.244991593</v>
      </c>
      <c r="W18" s="177">
        <f t="shared" si="7"/>
        <v>14226856.122495797</v>
      </c>
      <c r="X18" s="173">
        <f>+pronostico!N17*2%</f>
        <v>3014.1644327321601</v>
      </c>
      <c r="Y18" s="178">
        <f t="shared" si="8"/>
        <v>7113428.0612478983</v>
      </c>
      <c r="Z18" s="178">
        <f t="shared" si="9"/>
        <v>3556714.0306239491</v>
      </c>
      <c r="AA18" s="173">
        <f>+pronostico!N17*2%</f>
        <v>3014.1644327321601</v>
      </c>
      <c r="AB18" s="179">
        <f t="shared" si="10"/>
        <v>7113428.0612478983</v>
      </c>
      <c r="AC18" s="180">
        <f t="shared" si="11"/>
        <v>3556714.0306239491</v>
      </c>
      <c r="AD18" s="173">
        <f>+pronostico!N17*10%</f>
        <v>15070.822163660801</v>
      </c>
      <c r="AE18" s="176">
        <f t="shared" si="18"/>
        <v>35567140.306239493</v>
      </c>
      <c r="AF18" s="177">
        <f t="shared" si="18"/>
        <v>17783570.153119747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+pronostico!N18*50%</f>
        <v>17593.604450304003</v>
      </c>
      <c r="G19" s="137">
        <f t="shared" si="13"/>
        <v>87968022.251520008</v>
      </c>
      <c r="H19" s="138">
        <f t="shared" si="13"/>
        <v>35187208.900608003</v>
      </c>
      <c r="I19" s="137">
        <f>+F19*60%</f>
        <v>10556.162670182401</v>
      </c>
      <c r="J19" s="139">
        <f t="shared" si="15"/>
        <v>5278.0813350912003</v>
      </c>
      <c r="K19" s="167">
        <f t="shared" si="0"/>
        <v>1759.3604450304003</v>
      </c>
      <c r="L19" s="168" t="s">
        <v>21</v>
      </c>
      <c r="M19" s="169">
        <f>+pronostico!N18*20%</f>
        <v>7037.4417801216014</v>
      </c>
      <c r="N19" s="170">
        <f t="shared" si="2"/>
        <v>35187208.900608003</v>
      </c>
      <c r="O19" s="171">
        <f t="shared" si="3"/>
        <v>14074883.560243202</v>
      </c>
      <c r="P19" s="170">
        <f t="shared" si="16"/>
        <v>3518.7208900608007</v>
      </c>
      <c r="Q19" s="172">
        <f t="shared" si="17"/>
        <v>3518.7208900608007</v>
      </c>
      <c r="R19" s="173">
        <f>+pronostico!N18*8%</f>
        <v>2814.9767120486404</v>
      </c>
      <c r="S19" s="174">
        <f t="shared" si="4"/>
        <v>14074883.560243202</v>
      </c>
      <c r="T19" s="175">
        <f t="shared" si="5"/>
        <v>5629953.4240972809</v>
      </c>
      <c r="U19" s="173">
        <f>+pronostico!N18*8%</f>
        <v>2814.9767120486404</v>
      </c>
      <c r="V19" s="176">
        <f t="shared" si="6"/>
        <v>14074883.560243202</v>
      </c>
      <c r="W19" s="177">
        <f t="shared" si="7"/>
        <v>5629953.4240972809</v>
      </c>
      <c r="X19" s="173">
        <f>+pronostico!N18*2%</f>
        <v>703.74417801216009</v>
      </c>
      <c r="Y19" s="178">
        <f t="shared" si="8"/>
        <v>3518720.8900608006</v>
      </c>
      <c r="Z19" s="178">
        <f t="shared" si="9"/>
        <v>1407488.3560243202</v>
      </c>
      <c r="AA19" s="173">
        <f>+pronostico!N18*2%</f>
        <v>703.74417801216009</v>
      </c>
      <c r="AB19" s="179">
        <f t="shared" si="10"/>
        <v>3518720.8900608006</v>
      </c>
      <c r="AC19" s="180">
        <f t="shared" si="11"/>
        <v>1407488.3560243202</v>
      </c>
      <c r="AD19" s="173">
        <f>+pronostico!N18*10%</f>
        <v>3518.7208900608007</v>
      </c>
      <c r="AE19" s="176">
        <f t="shared" si="18"/>
        <v>17593604.450304002</v>
      </c>
      <c r="AF19" s="177">
        <f t="shared" si="18"/>
        <v>7037441.7801216012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+pronostico!N19*50%</f>
        <v>12682.732462080001</v>
      </c>
      <c r="G20" s="137">
        <f t="shared" si="13"/>
        <v>45531009.538867205</v>
      </c>
      <c r="H20" s="138">
        <f t="shared" si="13"/>
        <v>18212403.815546881</v>
      </c>
      <c r="I20" s="137">
        <f t="shared" si="14"/>
        <v>6341.3662310400005</v>
      </c>
      <c r="J20" s="139">
        <f t="shared" si="15"/>
        <v>3804.8197386239999</v>
      </c>
      <c r="K20" s="167">
        <f t="shared" si="0"/>
        <v>1268.2732462080003</v>
      </c>
      <c r="L20" s="168">
        <f>+F20*10%</f>
        <v>1268.2732462080003</v>
      </c>
      <c r="M20" s="169">
        <f>+pronostico!N19*20%</f>
        <v>5073.0929848320011</v>
      </c>
      <c r="N20" s="170">
        <f t="shared" si="2"/>
        <v>18212403.815546885</v>
      </c>
      <c r="O20" s="171">
        <f t="shared" si="3"/>
        <v>7284961.5262187542</v>
      </c>
      <c r="P20" s="170">
        <f t="shared" si="16"/>
        <v>2536.5464924160005</v>
      </c>
      <c r="Q20" s="172">
        <f t="shared" si="17"/>
        <v>2536.5464924160005</v>
      </c>
      <c r="R20" s="173">
        <f>+pronostico!N19*8%</f>
        <v>2029.2371939328002</v>
      </c>
      <c r="S20" s="174">
        <f t="shared" si="4"/>
        <v>7284961.5262187524</v>
      </c>
      <c r="T20" s="175">
        <f t="shared" si="5"/>
        <v>2913984.6104875011</v>
      </c>
      <c r="U20" s="173">
        <f>+pronostico!N19*8%</f>
        <v>2029.2371939328002</v>
      </c>
      <c r="V20" s="176">
        <f t="shared" si="6"/>
        <v>7284961.5262187524</v>
      </c>
      <c r="W20" s="177">
        <f t="shared" si="7"/>
        <v>2913984.6104875011</v>
      </c>
      <c r="X20" s="173">
        <f>+pronostico!N19*2%</f>
        <v>507.30929848320005</v>
      </c>
      <c r="Y20" s="178">
        <f t="shared" si="8"/>
        <v>1821240.3815546881</v>
      </c>
      <c r="Z20" s="178">
        <f t="shared" si="9"/>
        <v>728496.15262187528</v>
      </c>
      <c r="AA20" s="173">
        <f>+pronostico!N19*2%</f>
        <v>507.30929848320005</v>
      </c>
      <c r="AB20" s="179">
        <f t="shared" si="10"/>
        <v>1821240.3815546881</v>
      </c>
      <c r="AC20" s="180">
        <f t="shared" si="11"/>
        <v>728496.15262187528</v>
      </c>
      <c r="AD20" s="173">
        <f>+pronostico!N19*10%</f>
        <v>2536.5464924160005</v>
      </c>
      <c r="AE20" s="176">
        <f t="shared" si="18"/>
        <v>9106201.9077734426</v>
      </c>
      <c r="AF20" s="177">
        <f t="shared" si="18"/>
        <v>3642480.7631093771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+pronostico!N20*50%</f>
        <v>12092.837928960002</v>
      </c>
      <c r="G21" s="137">
        <f t="shared" si="13"/>
        <v>149104691.66407681</v>
      </c>
      <c r="H21" s="138">
        <f t="shared" si="13"/>
        <v>59641876.665630728</v>
      </c>
      <c r="I21" s="137">
        <f>+F21*60%</f>
        <v>7255.7027573760006</v>
      </c>
      <c r="J21" s="139">
        <f t="shared" si="15"/>
        <v>3627.8513786880003</v>
      </c>
      <c r="K21" s="167">
        <f t="shared" si="0"/>
        <v>1209.2837928960003</v>
      </c>
      <c r="L21" s="168" t="s">
        <v>21</v>
      </c>
      <c r="M21" s="169">
        <f>+pronostico!N20*20%</f>
        <v>4837.135171584001</v>
      </c>
      <c r="N21" s="170">
        <f t="shared" si="2"/>
        <v>59641876.665630735</v>
      </c>
      <c r="O21" s="171">
        <f t="shared" si="3"/>
        <v>23856750.666252296</v>
      </c>
      <c r="P21" s="170">
        <f t="shared" si="16"/>
        <v>2418.5675857920005</v>
      </c>
      <c r="Q21" s="172">
        <f t="shared" si="17"/>
        <v>2418.5675857920005</v>
      </c>
      <c r="R21" s="173">
        <f>+pronostico!N20*8%</f>
        <v>1934.8540686336003</v>
      </c>
      <c r="S21" s="174">
        <f t="shared" si="4"/>
        <v>23856750.666252293</v>
      </c>
      <c r="T21" s="175">
        <f t="shared" si="5"/>
        <v>9542700.2665009182</v>
      </c>
      <c r="U21" s="173">
        <f>+pronostico!N20*8%</f>
        <v>1934.8540686336003</v>
      </c>
      <c r="V21" s="176">
        <f t="shared" si="6"/>
        <v>23856750.666252293</v>
      </c>
      <c r="W21" s="177">
        <f t="shared" si="7"/>
        <v>9542700.2665009182</v>
      </c>
      <c r="X21" s="173">
        <f>+pronostico!N20*2%</f>
        <v>483.71351715840007</v>
      </c>
      <c r="Y21" s="178">
        <f t="shared" si="8"/>
        <v>5964187.6665630732</v>
      </c>
      <c r="Z21" s="178">
        <f t="shared" si="9"/>
        <v>2385675.0666252295</v>
      </c>
      <c r="AA21" s="173">
        <f>+pronostico!N20*2%</f>
        <v>483.71351715840007</v>
      </c>
      <c r="AB21" s="179">
        <f t="shared" si="10"/>
        <v>5964187.6665630732</v>
      </c>
      <c r="AC21" s="180">
        <f t="shared" si="11"/>
        <v>2385675.0666252295</v>
      </c>
      <c r="AD21" s="173">
        <f>+pronostico!N20*10%</f>
        <v>2418.5675857920005</v>
      </c>
      <c r="AE21" s="176">
        <f t="shared" ref="AE21:AF36" si="20">+AD21*D21</f>
        <v>29820938.332815368</v>
      </c>
      <c r="AF21" s="177">
        <f t="shared" si="20"/>
        <v>11928375.333126148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+pronostico!N21*50%</f>
        <v>10603.354232832</v>
      </c>
      <c r="G22" s="137">
        <f t="shared" si="13"/>
        <v>79313089.661583364</v>
      </c>
      <c r="H22" s="138">
        <f t="shared" si="13"/>
        <v>31725235.864633348</v>
      </c>
      <c r="I22" s="137">
        <f t="shared" ref="I22:I51" si="21">+F22*60%</f>
        <v>6362.0125396991998</v>
      </c>
      <c r="J22" s="139">
        <f t="shared" si="15"/>
        <v>3181.0062698495999</v>
      </c>
      <c r="K22" s="167">
        <f t="shared" si="0"/>
        <v>1060.3354232832</v>
      </c>
      <c r="L22" s="168" t="s">
        <v>21</v>
      </c>
      <c r="M22" s="169">
        <f>+pronostico!N21*20%</f>
        <v>4241.3416931328002</v>
      </c>
      <c r="N22" s="170">
        <f t="shared" si="2"/>
        <v>31725235.864633344</v>
      </c>
      <c r="O22" s="171">
        <f t="shared" si="3"/>
        <v>12690094.345853338</v>
      </c>
      <c r="P22" s="170">
        <f t="shared" si="16"/>
        <v>2120.6708465664001</v>
      </c>
      <c r="Q22" s="172">
        <f t="shared" si="17"/>
        <v>2120.6708465664001</v>
      </c>
      <c r="R22" s="173">
        <f>+pronostico!N21*8%</f>
        <v>1696.5366772531199</v>
      </c>
      <c r="S22" s="174">
        <f t="shared" si="4"/>
        <v>12690094.345853338</v>
      </c>
      <c r="T22" s="175">
        <f t="shared" si="5"/>
        <v>5076037.7383413352</v>
      </c>
      <c r="U22" s="173">
        <f>+pronostico!N21*8%</f>
        <v>1696.5366772531199</v>
      </c>
      <c r="V22" s="176">
        <f t="shared" si="6"/>
        <v>12690094.345853338</v>
      </c>
      <c r="W22" s="177">
        <f t="shared" si="7"/>
        <v>5076037.7383413352</v>
      </c>
      <c r="X22" s="173">
        <f>+pronostico!N21*2%</f>
        <v>424.13416931327998</v>
      </c>
      <c r="Y22" s="178">
        <f t="shared" si="8"/>
        <v>3172523.5864633345</v>
      </c>
      <c r="Z22" s="178">
        <f t="shared" si="9"/>
        <v>1269009.4345853338</v>
      </c>
      <c r="AA22" s="173">
        <f>+pronostico!N21*2%</f>
        <v>424.13416931327998</v>
      </c>
      <c r="AB22" s="179">
        <f t="shared" si="10"/>
        <v>3172523.5864633345</v>
      </c>
      <c r="AC22" s="180">
        <f t="shared" si="11"/>
        <v>1269009.4345853338</v>
      </c>
      <c r="AD22" s="173">
        <f>+pronostico!N21*10%</f>
        <v>2120.6708465664001</v>
      </c>
      <c r="AE22" s="176">
        <f t="shared" si="20"/>
        <v>15862617.932316672</v>
      </c>
      <c r="AF22" s="177">
        <f t="shared" si="20"/>
        <v>6345047.172926669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+pronostico!N22*50%</f>
        <v>7177.0501529599997</v>
      </c>
      <c r="G23" s="137">
        <f t="shared" si="13"/>
        <v>29425905.627136</v>
      </c>
      <c r="H23" s="138">
        <f t="shared" si="13"/>
        <v>11770362.250854401</v>
      </c>
      <c r="I23" s="137">
        <f t="shared" si="21"/>
        <v>4306.2300917759994</v>
      </c>
      <c r="J23" s="139">
        <f t="shared" si="15"/>
        <v>2153.1150458879997</v>
      </c>
      <c r="K23" s="167">
        <f t="shared" si="0"/>
        <v>717.70501529600006</v>
      </c>
      <c r="L23" s="168" t="s">
        <v>21</v>
      </c>
      <c r="M23" s="169">
        <f>+pronostico!N22*20%</f>
        <v>2870.8200611840002</v>
      </c>
      <c r="N23" s="170">
        <f t="shared" si="2"/>
        <v>11770362.250854401</v>
      </c>
      <c r="O23" s="171">
        <f t="shared" si="3"/>
        <v>4708144.9003417604</v>
      </c>
      <c r="P23" s="170">
        <f t="shared" si="16"/>
        <v>1435.4100305920001</v>
      </c>
      <c r="Q23" s="172">
        <f t="shared" si="17"/>
        <v>1435.4100305920001</v>
      </c>
      <c r="R23" s="173">
        <f>+pronostico!N22*8%</f>
        <v>1148.3280244736</v>
      </c>
      <c r="S23" s="174">
        <f t="shared" si="4"/>
        <v>4708144.9003417594</v>
      </c>
      <c r="T23" s="175">
        <f t="shared" si="5"/>
        <v>1883257.9601367039</v>
      </c>
      <c r="U23" s="173">
        <f>+pronostico!N22*8%</f>
        <v>1148.3280244736</v>
      </c>
      <c r="V23" s="176">
        <f t="shared" si="6"/>
        <v>4708144.9003417594</v>
      </c>
      <c r="W23" s="177">
        <f t="shared" si="7"/>
        <v>1883257.9601367039</v>
      </c>
      <c r="X23" s="173">
        <f>+pronostico!N22*2%</f>
        <v>287.08200611839999</v>
      </c>
      <c r="Y23" s="178">
        <f t="shared" si="8"/>
        <v>1177036.2250854399</v>
      </c>
      <c r="Z23" s="178">
        <f t="shared" si="9"/>
        <v>470814.49003417598</v>
      </c>
      <c r="AA23" s="173">
        <f>+pronostico!N22*2%</f>
        <v>287.08200611839999</v>
      </c>
      <c r="AB23" s="179">
        <f t="shared" si="10"/>
        <v>1177036.2250854399</v>
      </c>
      <c r="AC23" s="180">
        <f t="shared" si="11"/>
        <v>470814.49003417598</v>
      </c>
      <c r="AD23" s="173">
        <f>+pronostico!N22*10%</f>
        <v>1435.4100305920001</v>
      </c>
      <c r="AE23" s="176">
        <f t="shared" si="20"/>
        <v>5885181.1254272005</v>
      </c>
      <c r="AF23" s="177">
        <f t="shared" si="20"/>
        <v>2354072.4501708802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+pronostico!N23*50%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+pronostico!N23*20%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+pronostico!N23*8%</f>
        <v>2000</v>
      </c>
      <c r="S24" s="174">
        <f t="shared" si="4"/>
        <v>6600000</v>
      </c>
      <c r="T24" s="175">
        <f t="shared" si="5"/>
        <v>3300000</v>
      </c>
      <c r="U24" s="173">
        <f>+pronostico!N23*8%</f>
        <v>2000</v>
      </c>
      <c r="V24" s="176">
        <f t="shared" si="6"/>
        <v>6600000</v>
      </c>
      <c r="W24" s="177">
        <f t="shared" si="7"/>
        <v>3300000</v>
      </c>
      <c r="X24" s="173">
        <f>+pronostico!N23*2%</f>
        <v>500</v>
      </c>
      <c r="Y24" s="178">
        <f t="shared" si="8"/>
        <v>1650000</v>
      </c>
      <c r="Z24" s="178">
        <f t="shared" si="9"/>
        <v>825000</v>
      </c>
      <c r="AA24" s="173">
        <f>+pronostico!N23*2%</f>
        <v>500</v>
      </c>
      <c r="AB24" s="179">
        <f t="shared" si="10"/>
        <v>1650000</v>
      </c>
      <c r="AC24" s="180">
        <f t="shared" si="11"/>
        <v>825000</v>
      </c>
      <c r="AD24" s="173">
        <f>+pronostico!N23*10%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+pronostico!N24*50%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+pronostico!N24*20%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+pronostico!N24*8%</f>
        <v>2400</v>
      </c>
      <c r="S25" s="174">
        <f t="shared" si="4"/>
        <v>7200000</v>
      </c>
      <c r="T25" s="175">
        <f t="shared" si="5"/>
        <v>3600000</v>
      </c>
      <c r="U25" s="173">
        <f>+pronostico!N24*8%</f>
        <v>2400</v>
      </c>
      <c r="V25" s="176">
        <f t="shared" si="6"/>
        <v>7200000</v>
      </c>
      <c r="W25" s="177">
        <f t="shared" si="7"/>
        <v>3600000</v>
      </c>
      <c r="X25" s="173">
        <f>+pronostico!N24*2%</f>
        <v>600</v>
      </c>
      <c r="Y25" s="178">
        <f t="shared" si="8"/>
        <v>1800000</v>
      </c>
      <c r="Z25" s="178">
        <f t="shared" si="9"/>
        <v>900000</v>
      </c>
      <c r="AA25" s="173">
        <f>+pronostico!N24*2%</f>
        <v>600</v>
      </c>
      <c r="AB25" s="179">
        <f t="shared" si="10"/>
        <v>1800000</v>
      </c>
      <c r="AC25" s="180">
        <f t="shared" si="11"/>
        <v>900000</v>
      </c>
      <c r="AD25" s="173">
        <f>+pronostico!N24*10%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+pronostico!N25*50%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+pronostico!N25*20%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+pronostico!N25*8%</f>
        <v>3200</v>
      </c>
      <c r="S26" s="174">
        <f t="shared" si="4"/>
        <v>12160000</v>
      </c>
      <c r="T26" s="175">
        <f t="shared" si="5"/>
        <v>4864000</v>
      </c>
      <c r="U26" s="173">
        <f>+pronostico!N25*8%</f>
        <v>3200</v>
      </c>
      <c r="V26" s="176">
        <f t="shared" si="6"/>
        <v>12160000</v>
      </c>
      <c r="W26" s="177">
        <f t="shared" si="7"/>
        <v>4864000</v>
      </c>
      <c r="X26" s="173">
        <f>+pronostico!N25*2%</f>
        <v>800</v>
      </c>
      <c r="Y26" s="178">
        <f t="shared" si="8"/>
        <v>3040000</v>
      </c>
      <c r="Z26" s="178">
        <f t="shared" si="9"/>
        <v>1216000</v>
      </c>
      <c r="AA26" s="173">
        <f>+pronostico!N25*2%</f>
        <v>800</v>
      </c>
      <c r="AB26" s="179">
        <f t="shared" si="10"/>
        <v>3040000</v>
      </c>
      <c r="AC26" s="180">
        <f t="shared" si="11"/>
        <v>1216000</v>
      </c>
      <c r="AD26" s="173">
        <f>+pronostico!N25*10%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+pronostico!N26*50%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+pronostico!N26*20%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+pronostico!N26*8%</f>
        <v>4800</v>
      </c>
      <c r="S27" s="174">
        <f t="shared" si="4"/>
        <v>11040000</v>
      </c>
      <c r="T27" s="175">
        <f t="shared" si="5"/>
        <v>5520000</v>
      </c>
      <c r="U27" s="173">
        <f>+pronostico!N26*8%</f>
        <v>4800</v>
      </c>
      <c r="V27" s="176">
        <f t="shared" si="6"/>
        <v>11040000</v>
      </c>
      <c r="W27" s="177">
        <f t="shared" si="7"/>
        <v>5520000</v>
      </c>
      <c r="X27" s="173">
        <f>+pronostico!N26*2%</f>
        <v>1200</v>
      </c>
      <c r="Y27" s="178">
        <f t="shared" si="8"/>
        <v>2760000</v>
      </c>
      <c r="Z27" s="178">
        <f t="shared" si="9"/>
        <v>1380000</v>
      </c>
      <c r="AA27" s="173">
        <f>+pronostico!N26*2%</f>
        <v>1200</v>
      </c>
      <c r="AB27" s="179">
        <f t="shared" si="10"/>
        <v>2760000</v>
      </c>
      <c r="AC27" s="180">
        <f t="shared" si="11"/>
        <v>1380000</v>
      </c>
      <c r="AD27" s="173">
        <f>+pronostico!N26*10%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+pronostico!N27*50%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+pronostico!N27*20%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+pronostico!N27*8%</f>
        <v>2400</v>
      </c>
      <c r="S28" s="174">
        <f t="shared" si="4"/>
        <v>9360000</v>
      </c>
      <c r="T28" s="175">
        <f t="shared" si="5"/>
        <v>3744000</v>
      </c>
      <c r="U28" s="173">
        <f>+pronostico!N27*8%</f>
        <v>2400</v>
      </c>
      <c r="V28" s="176">
        <f t="shared" si="6"/>
        <v>9360000</v>
      </c>
      <c r="W28" s="177">
        <f t="shared" si="7"/>
        <v>3744000</v>
      </c>
      <c r="X28" s="173">
        <f>+pronostico!N27*2%</f>
        <v>600</v>
      </c>
      <c r="Y28" s="178">
        <f t="shared" si="8"/>
        <v>2340000</v>
      </c>
      <c r="Z28" s="178">
        <f t="shared" si="9"/>
        <v>936000</v>
      </c>
      <c r="AA28" s="173">
        <f>+pronostico!N27*2%</f>
        <v>600</v>
      </c>
      <c r="AB28" s="179">
        <f t="shared" si="10"/>
        <v>2340000</v>
      </c>
      <c r="AC28" s="180">
        <f t="shared" si="11"/>
        <v>936000</v>
      </c>
      <c r="AD28" s="173">
        <f>+pronostico!N27*10%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+pronostico!N28*50%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+pronostico!N28*20%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+pronostico!N28*8%</f>
        <v>5200</v>
      </c>
      <c r="S29" s="174">
        <f t="shared" si="4"/>
        <v>15600000</v>
      </c>
      <c r="T29" s="175">
        <f t="shared" si="5"/>
        <v>7800000</v>
      </c>
      <c r="U29" s="173">
        <f>+pronostico!N28*8%</f>
        <v>5200</v>
      </c>
      <c r="V29" s="176">
        <f t="shared" si="6"/>
        <v>15600000</v>
      </c>
      <c r="W29" s="177">
        <f t="shared" si="7"/>
        <v>7800000</v>
      </c>
      <c r="X29" s="173">
        <f>+pronostico!N28*2%</f>
        <v>1300</v>
      </c>
      <c r="Y29" s="178">
        <f t="shared" si="8"/>
        <v>3900000</v>
      </c>
      <c r="Z29" s="178">
        <f t="shared" si="9"/>
        <v>1950000</v>
      </c>
      <c r="AA29" s="173">
        <f>+pronostico!N28*2%</f>
        <v>1300</v>
      </c>
      <c r="AB29" s="179">
        <f t="shared" si="10"/>
        <v>3900000</v>
      </c>
      <c r="AC29" s="180">
        <f t="shared" si="11"/>
        <v>1950000</v>
      </c>
      <c r="AD29" s="173">
        <f>+pronostico!N28*10%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+pronostico!N29*50%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+pronostico!N29*20%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+pronostico!N29*8%</f>
        <v>2000</v>
      </c>
      <c r="S30" s="174">
        <f t="shared" si="4"/>
        <v>8200000</v>
      </c>
      <c r="T30" s="175">
        <f t="shared" si="5"/>
        <v>3280000</v>
      </c>
      <c r="U30" s="173">
        <f>+pronostico!N29*8%</f>
        <v>2000</v>
      </c>
      <c r="V30" s="176">
        <f t="shared" si="6"/>
        <v>8200000</v>
      </c>
      <c r="W30" s="177">
        <f t="shared" si="7"/>
        <v>3280000</v>
      </c>
      <c r="X30" s="173">
        <f>+pronostico!N29*2%</f>
        <v>500</v>
      </c>
      <c r="Y30" s="178">
        <f t="shared" si="8"/>
        <v>2050000</v>
      </c>
      <c r="Z30" s="178">
        <f t="shared" si="9"/>
        <v>820000</v>
      </c>
      <c r="AA30" s="173">
        <f>+pronostico!N29*2%</f>
        <v>500</v>
      </c>
      <c r="AB30" s="179">
        <f t="shared" si="10"/>
        <v>2050000</v>
      </c>
      <c r="AC30" s="180">
        <f t="shared" si="11"/>
        <v>820000</v>
      </c>
      <c r="AD30" s="173">
        <f>+pronostico!N29*10%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+pronostico!N30*50%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+pronostico!N30*20%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+pronostico!N30*8%</f>
        <v>2000</v>
      </c>
      <c r="S31" s="174">
        <f t="shared" si="4"/>
        <v>4700000</v>
      </c>
      <c r="T31" s="175">
        <f t="shared" si="5"/>
        <v>2350000</v>
      </c>
      <c r="U31" s="173">
        <f>+pronostico!N30*8%</f>
        <v>2000</v>
      </c>
      <c r="V31" s="176">
        <f t="shared" si="6"/>
        <v>4700000</v>
      </c>
      <c r="W31" s="177">
        <f t="shared" si="7"/>
        <v>2350000</v>
      </c>
      <c r="X31" s="173">
        <f>+pronostico!N30*2%</f>
        <v>500</v>
      </c>
      <c r="Y31" s="178">
        <f t="shared" si="8"/>
        <v>1175000</v>
      </c>
      <c r="Z31" s="178">
        <f t="shared" si="9"/>
        <v>587500</v>
      </c>
      <c r="AA31" s="173">
        <f>+pronostico!N30*2%</f>
        <v>500</v>
      </c>
      <c r="AB31" s="179">
        <f t="shared" si="10"/>
        <v>1175000</v>
      </c>
      <c r="AC31" s="180">
        <f t="shared" si="11"/>
        <v>587500</v>
      </c>
      <c r="AD31" s="173">
        <f>+pronostico!N30*10%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+pronostico!N31*50%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+pronostico!N31*20%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+pronostico!N31*8%</f>
        <v>1600</v>
      </c>
      <c r="S32" s="174">
        <f t="shared" si="4"/>
        <v>4800000</v>
      </c>
      <c r="T32" s="175">
        <f t="shared" si="5"/>
        <v>2400000</v>
      </c>
      <c r="U32" s="173">
        <f>+pronostico!N31*8%</f>
        <v>1600</v>
      </c>
      <c r="V32" s="176">
        <f t="shared" si="6"/>
        <v>4800000</v>
      </c>
      <c r="W32" s="177">
        <f t="shared" si="7"/>
        <v>2400000</v>
      </c>
      <c r="X32" s="173">
        <f>+pronostico!N31*2%</f>
        <v>400</v>
      </c>
      <c r="Y32" s="178">
        <f t="shared" si="8"/>
        <v>1200000</v>
      </c>
      <c r="Z32" s="178">
        <f t="shared" si="9"/>
        <v>600000</v>
      </c>
      <c r="AA32" s="173">
        <f>+pronostico!N31*2%</f>
        <v>400</v>
      </c>
      <c r="AB32" s="179">
        <f t="shared" si="10"/>
        <v>1200000</v>
      </c>
      <c r="AC32" s="180">
        <f t="shared" si="11"/>
        <v>600000</v>
      </c>
      <c r="AD32" s="173">
        <f>+pronostico!N31*10%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+pronostico!N32*50%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+pronostico!N32*20%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+pronostico!N32*8%</f>
        <v>1200</v>
      </c>
      <c r="S33" s="174">
        <f t="shared" si="4"/>
        <v>2760000</v>
      </c>
      <c r="T33" s="175">
        <f t="shared" si="5"/>
        <v>1380000</v>
      </c>
      <c r="U33" s="173">
        <f>+pronostico!N32*8%</f>
        <v>1200</v>
      </c>
      <c r="V33" s="176">
        <f t="shared" si="6"/>
        <v>2760000</v>
      </c>
      <c r="W33" s="177">
        <f t="shared" si="7"/>
        <v>1380000</v>
      </c>
      <c r="X33" s="173">
        <f>+pronostico!N32*2%</f>
        <v>300</v>
      </c>
      <c r="Y33" s="178">
        <f t="shared" si="8"/>
        <v>690000</v>
      </c>
      <c r="Z33" s="178">
        <f t="shared" si="9"/>
        <v>345000</v>
      </c>
      <c r="AA33" s="173">
        <f>+pronostico!N32*2%</f>
        <v>300</v>
      </c>
      <c r="AB33" s="179">
        <f t="shared" si="10"/>
        <v>690000</v>
      </c>
      <c r="AC33" s="180">
        <f t="shared" si="11"/>
        <v>345000</v>
      </c>
      <c r="AD33" s="173">
        <f>+pronostico!N32*10%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+pronostico!N33*50%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+pronostico!N33*20%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+pronostico!N33*8%</f>
        <v>1600</v>
      </c>
      <c r="S34" s="174">
        <f t="shared" si="4"/>
        <v>6080000</v>
      </c>
      <c r="T34" s="175">
        <f t="shared" si="5"/>
        <v>2432000</v>
      </c>
      <c r="U34" s="173">
        <f>+pronostico!N33*8%</f>
        <v>1600</v>
      </c>
      <c r="V34" s="176">
        <f t="shared" si="6"/>
        <v>6080000</v>
      </c>
      <c r="W34" s="177">
        <f t="shared" si="7"/>
        <v>2432000</v>
      </c>
      <c r="X34" s="173">
        <f>+pronostico!N33*2%</f>
        <v>400</v>
      </c>
      <c r="Y34" s="178">
        <f t="shared" si="8"/>
        <v>1520000</v>
      </c>
      <c r="Z34" s="178">
        <f t="shared" si="9"/>
        <v>608000</v>
      </c>
      <c r="AA34" s="173">
        <f>+pronostico!N33*2%</f>
        <v>400</v>
      </c>
      <c r="AB34" s="179">
        <f t="shared" si="10"/>
        <v>1520000</v>
      </c>
      <c r="AC34" s="180">
        <f t="shared" si="11"/>
        <v>608000</v>
      </c>
      <c r="AD34" s="173">
        <f>+pronostico!N33*10%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+pronostico!N34*50%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+pronostico!N34*20%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+pronostico!N34*8%</f>
        <v>1600</v>
      </c>
      <c r="S35" s="174">
        <f t="shared" si="4"/>
        <v>6400000</v>
      </c>
      <c r="T35" s="175">
        <f t="shared" si="5"/>
        <v>2560000</v>
      </c>
      <c r="U35" s="173">
        <f>+pronostico!N34*8%</f>
        <v>1600</v>
      </c>
      <c r="V35" s="176">
        <f t="shared" si="6"/>
        <v>6400000</v>
      </c>
      <c r="W35" s="177">
        <f t="shared" si="7"/>
        <v>2560000</v>
      </c>
      <c r="X35" s="173">
        <f>+pronostico!N34*2%</f>
        <v>400</v>
      </c>
      <c r="Y35" s="178">
        <f t="shared" si="8"/>
        <v>1600000</v>
      </c>
      <c r="Z35" s="178">
        <f t="shared" si="9"/>
        <v>640000</v>
      </c>
      <c r="AA35" s="173">
        <f>+pronostico!N34*2%</f>
        <v>400</v>
      </c>
      <c r="AB35" s="179">
        <f t="shared" si="10"/>
        <v>1600000</v>
      </c>
      <c r="AC35" s="180">
        <f t="shared" si="11"/>
        <v>640000</v>
      </c>
      <c r="AD35" s="173">
        <f>+pronostico!N34*10%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+pronostico!N35*50%</f>
        <v>124762.5</v>
      </c>
      <c r="G36" s="137">
        <f t="shared" si="13"/>
        <v>238296375</v>
      </c>
      <c r="H36" s="138">
        <f t="shared" si="13"/>
        <v>119148187.5</v>
      </c>
      <c r="I36" s="137">
        <f t="shared" si="21"/>
        <v>74857.5</v>
      </c>
      <c r="J36" s="139">
        <f t="shared" si="15"/>
        <v>37428.75</v>
      </c>
      <c r="K36" s="167">
        <f t="shared" si="0"/>
        <v>12476.25</v>
      </c>
      <c r="L36" s="168" t="s">
        <v>21</v>
      </c>
      <c r="M36" s="169">
        <f>+pronostico!N35*20%</f>
        <v>49905</v>
      </c>
      <c r="N36" s="170">
        <f t="shared" si="2"/>
        <v>95318550</v>
      </c>
      <c r="O36" s="171">
        <f t="shared" si="3"/>
        <v>47659275</v>
      </c>
      <c r="P36" s="170">
        <f t="shared" si="16"/>
        <v>24952.5</v>
      </c>
      <c r="Q36" s="172">
        <f t="shared" si="17"/>
        <v>24952.5</v>
      </c>
      <c r="R36" s="173">
        <f>+pronostico!N35*8%</f>
        <v>19962</v>
      </c>
      <c r="S36" s="174">
        <f t="shared" si="4"/>
        <v>38127420</v>
      </c>
      <c r="T36" s="175">
        <f t="shared" si="5"/>
        <v>19063710</v>
      </c>
      <c r="U36" s="173">
        <f>+pronostico!N35*8%</f>
        <v>19962</v>
      </c>
      <c r="V36" s="176">
        <v>0</v>
      </c>
      <c r="W36" s="177">
        <f t="shared" ref="W36:W51" si="22">V36*E36</f>
        <v>0</v>
      </c>
      <c r="X36" s="173">
        <f>+pronostico!N35*2%</f>
        <v>4990.5</v>
      </c>
      <c r="Y36" s="178">
        <f t="shared" si="8"/>
        <v>9531855</v>
      </c>
      <c r="Z36" s="178">
        <f t="shared" si="9"/>
        <v>4765927.5</v>
      </c>
      <c r="AA36" s="173">
        <f>+pronostico!N35*2%</f>
        <v>4990.5</v>
      </c>
      <c r="AB36" s="179">
        <f t="shared" si="10"/>
        <v>9531855</v>
      </c>
      <c r="AC36" s="180">
        <f t="shared" si="11"/>
        <v>4765927.5</v>
      </c>
      <c r="AD36" s="173">
        <f>+pronostico!N35*10%</f>
        <v>24952.5</v>
      </c>
      <c r="AE36" s="176">
        <f t="shared" si="20"/>
        <v>47659275</v>
      </c>
      <c r="AF36" s="177">
        <f t="shared" si="20"/>
        <v>23829637.5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+pronostico!N36*50%</f>
        <v>116401</v>
      </c>
      <c r="G37" s="137">
        <f t="shared" si="13"/>
        <v>252590170</v>
      </c>
      <c r="H37" s="138">
        <f t="shared" si="13"/>
        <v>126295085</v>
      </c>
      <c r="I37" s="137">
        <f t="shared" si="21"/>
        <v>69840.599999999991</v>
      </c>
      <c r="J37" s="139">
        <f t="shared" si="15"/>
        <v>34920.299999999996</v>
      </c>
      <c r="K37" s="167">
        <f t="shared" si="0"/>
        <v>11640.1</v>
      </c>
      <c r="L37" s="168" t="s">
        <v>21</v>
      </c>
      <c r="M37" s="169">
        <f>+pronostico!N36*20%</f>
        <v>46560.4</v>
      </c>
      <c r="N37" s="170">
        <f t="shared" si="2"/>
        <v>101036068</v>
      </c>
      <c r="O37" s="171">
        <f t="shared" si="3"/>
        <v>50518034</v>
      </c>
      <c r="P37" s="170">
        <f t="shared" si="16"/>
        <v>23280.2</v>
      </c>
      <c r="Q37" s="172">
        <f t="shared" si="17"/>
        <v>23280.2</v>
      </c>
      <c r="R37" s="173">
        <f>+pronostico!N36*8%</f>
        <v>18624.16</v>
      </c>
      <c r="S37" s="174">
        <f t="shared" si="4"/>
        <v>40414427.200000003</v>
      </c>
      <c r="T37" s="175">
        <f t="shared" si="5"/>
        <v>20207213.600000001</v>
      </c>
      <c r="U37" s="173">
        <f>+pronostico!N36*8%</f>
        <v>18624.16</v>
      </c>
      <c r="V37" s="176">
        <v>0</v>
      </c>
      <c r="W37" s="177">
        <f t="shared" si="22"/>
        <v>0</v>
      </c>
      <c r="X37" s="173">
        <f>+pronostico!N36*2%</f>
        <v>4656.04</v>
      </c>
      <c r="Y37" s="178">
        <f t="shared" si="8"/>
        <v>10103606.800000001</v>
      </c>
      <c r="Z37" s="178">
        <f t="shared" si="9"/>
        <v>5051803.4000000004</v>
      </c>
      <c r="AA37" s="173">
        <f>+pronostico!N36*2%</f>
        <v>4656.04</v>
      </c>
      <c r="AB37" s="179">
        <f t="shared" si="10"/>
        <v>10103606.800000001</v>
      </c>
      <c r="AC37" s="180">
        <f t="shared" si="11"/>
        <v>5051803.4000000004</v>
      </c>
      <c r="AD37" s="173">
        <f>+pronostico!N36*10%</f>
        <v>23280.2</v>
      </c>
      <c r="AE37" s="176">
        <f t="shared" ref="AE37:AF51" si="23">+AD37*D37</f>
        <v>50518034</v>
      </c>
      <c r="AF37" s="177">
        <f t="shared" si="23"/>
        <v>25259017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+pronostico!N37*50%</f>
        <v>93154</v>
      </c>
      <c r="G38" s="137">
        <f t="shared" si="13"/>
        <v>155567180</v>
      </c>
      <c r="H38" s="138">
        <f t="shared" si="13"/>
        <v>77783590</v>
      </c>
      <c r="I38" s="137">
        <f t="shared" si="21"/>
        <v>55892.4</v>
      </c>
      <c r="J38" s="139">
        <f t="shared" si="15"/>
        <v>27946.2</v>
      </c>
      <c r="K38" s="167">
        <f t="shared" si="0"/>
        <v>9315.4</v>
      </c>
      <c r="L38" s="168" t="s">
        <v>21</v>
      </c>
      <c r="M38" s="169">
        <f>+pronostico!N37*20%</f>
        <v>37261.599999999999</v>
      </c>
      <c r="N38" s="170">
        <f t="shared" si="2"/>
        <v>62226872</v>
      </c>
      <c r="O38" s="171">
        <f t="shared" si="3"/>
        <v>31113436</v>
      </c>
      <c r="P38" s="170">
        <f t="shared" si="16"/>
        <v>18630.8</v>
      </c>
      <c r="Q38" s="172">
        <f t="shared" si="17"/>
        <v>18630.8</v>
      </c>
      <c r="R38" s="173">
        <f>+pronostico!N37*8%</f>
        <v>14904.64</v>
      </c>
      <c r="S38" s="174">
        <f t="shared" si="4"/>
        <v>24890748.800000001</v>
      </c>
      <c r="T38" s="175">
        <f t="shared" si="5"/>
        <v>12445374.4</v>
      </c>
      <c r="U38" s="173">
        <f>+pronostico!N37*8%</f>
        <v>14904.64</v>
      </c>
      <c r="V38" s="176">
        <v>0</v>
      </c>
      <c r="W38" s="177">
        <f t="shared" si="22"/>
        <v>0</v>
      </c>
      <c r="X38" s="173">
        <f>+pronostico!N37*2%</f>
        <v>3726.16</v>
      </c>
      <c r="Y38" s="178">
        <f t="shared" si="8"/>
        <v>6222687.2000000002</v>
      </c>
      <c r="Z38" s="178">
        <f t="shared" si="9"/>
        <v>3111343.6</v>
      </c>
      <c r="AA38" s="173">
        <f>+pronostico!N37*2%</f>
        <v>3726.16</v>
      </c>
      <c r="AB38" s="179">
        <f t="shared" si="10"/>
        <v>6222687.2000000002</v>
      </c>
      <c r="AC38" s="180">
        <f t="shared" si="11"/>
        <v>3111343.6</v>
      </c>
      <c r="AD38" s="173">
        <f>+pronostico!N37*10%</f>
        <v>18630.8</v>
      </c>
      <c r="AE38" s="176">
        <f t="shared" si="23"/>
        <v>31113436</v>
      </c>
      <c r="AF38" s="177">
        <f t="shared" si="23"/>
        <v>15556718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+pronostico!N38*50%</f>
        <v>46012</v>
      </c>
      <c r="G39" s="137">
        <f t="shared" si="13"/>
        <v>46932240</v>
      </c>
      <c r="H39" s="138">
        <f t="shared" si="13"/>
        <v>23466120</v>
      </c>
      <c r="I39" s="137">
        <f t="shared" si="21"/>
        <v>27607.200000000001</v>
      </c>
      <c r="J39" s="139">
        <f t="shared" si="15"/>
        <v>13803.6</v>
      </c>
      <c r="K39" s="167">
        <f t="shared" si="0"/>
        <v>4601.2</v>
      </c>
      <c r="L39" s="168" t="s">
        <v>21</v>
      </c>
      <c r="M39" s="169">
        <f>+pronostico!N38*20%</f>
        <v>18404.8</v>
      </c>
      <c r="N39" s="170">
        <f t="shared" si="2"/>
        <v>18772896</v>
      </c>
      <c r="O39" s="171">
        <f t="shared" si="3"/>
        <v>9386448</v>
      </c>
      <c r="P39" s="170">
        <f t="shared" si="16"/>
        <v>9202.4</v>
      </c>
      <c r="Q39" s="172">
        <f t="shared" si="17"/>
        <v>9202.4</v>
      </c>
      <c r="R39" s="173">
        <f>+pronostico!N38*8%</f>
        <v>7361.92</v>
      </c>
      <c r="S39" s="174">
        <f t="shared" si="4"/>
        <v>7509158.4000000004</v>
      </c>
      <c r="T39" s="175">
        <f t="shared" si="5"/>
        <v>3754579.2</v>
      </c>
      <c r="U39" s="173">
        <f>+pronostico!N38*8%</f>
        <v>7361.92</v>
      </c>
      <c r="V39" s="176">
        <v>0</v>
      </c>
      <c r="W39" s="177">
        <f t="shared" si="22"/>
        <v>0</v>
      </c>
      <c r="X39" s="173">
        <f>+pronostico!N38*2%</f>
        <v>1840.48</v>
      </c>
      <c r="Y39" s="178">
        <f t="shared" si="8"/>
        <v>1877289.6</v>
      </c>
      <c r="Z39" s="178">
        <f t="shared" si="9"/>
        <v>938644.8</v>
      </c>
      <c r="AA39" s="173">
        <f>+pronostico!N38*2%</f>
        <v>1840.48</v>
      </c>
      <c r="AB39" s="179">
        <f t="shared" si="10"/>
        <v>1877289.6</v>
      </c>
      <c r="AC39" s="180">
        <f t="shared" si="11"/>
        <v>938644.8</v>
      </c>
      <c r="AD39" s="173">
        <f>+pronostico!N38*10%</f>
        <v>9202.4</v>
      </c>
      <c r="AE39" s="176">
        <f t="shared" si="23"/>
        <v>9386448</v>
      </c>
      <c r="AF39" s="177">
        <f t="shared" si="23"/>
        <v>4693224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+pronostico!N39*50%</f>
        <v>50898</v>
      </c>
      <c r="G40" s="137">
        <f t="shared" si="13"/>
        <v>72784140</v>
      </c>
      <c r="H40" s="138">
        <f t="shared" si="13"/>
        <v>36392070</v>
      </c>
      <c r="I40" s="137">
        <f t="shared" si="21"/>
        <v>30538.799999999999</v>
      </c>
      <c r="J40" s="139">
        <f t="shared" si="15"/>
        <v>15269.4</v>
      </c>
      <c r="K40" s="167">
        <f t="shared" si="0"/>
        <v>5089.8</v>
      </c>
      <c r="L40" s="168" t="s">
        <v>21</v>
      </c>
      <c r="M40" s="169">
        <f>+pronostico!N39*20%</f>
        <v>20359.2</v>
      </c>
      <c r="N40" s="170">
        <f t="shared" si="2"/>
        <v>29113656</v>
      </c>
      <c r="O40" s="171">
        <f t="shared" si="3"/>
        <v>14556828</v>
      </c>
      <c r="P40" s="170">
        <f t="shared" si="16"/>
        <v>10179.6</v>
      </c>
      <c r="Q40" s="172">
        <f t="shared" si="17"/>
        <v>10179.6</v>
      </c>
      <c r="R40" s="173">
        <f>+pronostico!N39*8%</f>
        <v>8143.68</v>
      </c>
      <c r="S40" s="174">
        <f t="shared" si="4"/>
        <v>11645462.4</v>
      </c>
      <c r="T40" s="175">
        <f t="shared" si="5"/>
        <v>5822731.2000000002</v>
      </c>
      <c r="U40" s="173">
        <f>+pronostico!N39*8%</f>
        <v>8143.68</v>
      </c>
      <c r="V40" s="176">
        <v>0</v>
      </c>
      <c r="W40" s="177">
        <f t="shared" si="22"/>
        <v>0</v>
      </c>
      <c r="X40" s="173">
        <f>+pronostico!N39*2%</f>
        <v>2035.92</v>
      </c>
      <c r="Y40" s="178">
        <f t="shared" si="8"/>
        <v>2911365.6</v>
      </c>
      <c r="Z40" s="178">
        <f t="shared" si="9"/>
        <v>1455682.8</v>
      </c>
      <c r="AA40" s="173">
        <f>+pronostico!N39*2%</f>
        <v>2035.92</v>
      </c>
      <c r="AB40" s="179">
        <f t="shared" si="10"/>
        <v>2911365.6</v>
      </c>
      <c r="AC40" s="180">
        <f t="shared" si="11"/>
        <v>1455682.8</v>
      </c>
      <c r="AD40" s="173">
        <f>+pronostico!N39*10%</f>
        <v>10179.6</v>
      </c>
      <c r="AE40" s="176">
        <f t="shared" si="23"/>
        <v>14556828</v>
      </c>
      <c r="AF40" s="177">
        <f t="shared" si="23"/>
        <v>7278414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+pronostico!N40*50%</f>
        <v>42389</v>
      </c>
      <c r="G41" s="137">
        <f t="shared" si="13"/>
        <v>562078140</v>
      </c>
      <c r="H41" s="138">
        <f t="shared" si="13"/>
        <v>224831256</v>
      </c>
      <c r="I41" s="137">
        <f t="shared" si="21"/>
        <v>25433.399999999998</v>
      </c>
      <c r="J41" s="139">
        <f t="shared" si="15"/>
        <v>12716.699999999999</v>
      </c>
      <c r="K41" s="167">
        <f t="shared" si="0"/>
        <v>4238.9000000000005</v>
      </c>
      <c r="L41" s="168" t="s">
        <v>21</v>
      </c>
      <c r="M41" s="169">
        <f>+pronostico!N40*20%</f>
        <v>16955.600000000002</v>
      </c>
      <c r="N41" s="170">
        <f t="shared" si="2"/>
        <v>224831256.00000003</v>
      </c>
      <c r="O41" s="171">
        <f t="shared" si="3"/>
        <v>89932502.400000021</v>
      </c>
      <c r="P41" s="170">
        <f t="shared" si="16"/>
        <v>8477.8000000000011</v>
      </c>
      <c r="Q41" s="172">
        <f t="shared" si="17"/>
        <v>8477.8000000000011</v>
      </c>
      <c r="R41" s="173">
        <f>+pronostico!N40*8%</f>
        <v>6782.24</v>
      </c>
      <c r="S41" s="174">
        <f t="shared" si="4"/>
        <v>89932502.399999991</v>
      </c>
      <c r="T41" s="175">
        <f t="shared" si="5"/>
        <v>35973000.960000001</v>
      </c>
      <c r="U41" s="173">
        <f>+pronostico!N40*8%</f>
        <v>6782.24</v>
      </c>
      <c r="V41" s="176">
        <v>0</v>
      </c>
      <c r="W41" s="177">
        <f t="shared" si="22"/>
        <v>0</v>
      </c>
      <c r="X41" s="173">
        <f>+pronostico!N40*2%</f>
        <v>1695.56</v>
      </c>
      <c r="Y41" s="178">
        <f t="shared" si="8"/>
        <v>22483125.599999998</v>
      </c>
      <c r="Z41" s="178">
        <f t="shared" si="9"/>
        <v>8993250.2400000002</v>
      </c>
      <c r="AA41" s="173">
        <f>+pronostico!N40*2%</f>
        <v>1695.56</v>
      </c>
      <c r="AB41" s="179">
        <f t="shared" si="10"/>
        <v>22483125.599999998</v>
      </c>
      <c r="AC41" s="180">
        <f t="shared" si="11"/>
        <v>8993250.2400000002</v>
      </c>
      <c r="AD41" s="173">
        <f>+pronostico!N40*10%</f>
        <v>8477.8000000000011</v>
      </c>
      <c r="AE41" s="176">
        <f t="shared" si="23"/>
        <v>112415628.00000001</v>
      </c>
      <c r="AF41" s="177">
        <f t="shared" si="23"/>
        <v>44966251.20000001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+pronostico!N41*50%</f>
        <v>23546.5</v>
      </c>
      <c r="G42" s="137">
        <f t="shared" si="13"/>
        <v>66872060</v>
      </c>
      <c r="H42" s="138">
        <f t="shared" si="13"/>
        <v>33436030</v>
      </c>
      <c r="I42" s="137">
        <f t="shared" si="21"/>
        <v>14127.9</v>
      </c>
      <c r="J42" s="139">
        <f t="shared" si="15"/>
        <v>7063.95</v>
      </c>
      <c r="K42" s="167">
        <f t="shared" si="0"/>
        <v>2354.65</v>
      </c>
      <c r="L42" s="168" t="s">
        <v>21</v>
      </c>
      <c r="M42" s="169">
        <f>+pronostico!N41*20%</f>
        <v>9418.6</v>
      </c>
      <c r="N42" s="170">
        <f t="shared" si="2"/>
        <v>26748824</v>
      </c>
      <c r="O42" s="171">
        <f t="shared" si="3"/>
        <v>13374412</v>
      </c>
      <c r="P42" s="170">
        <f t="shared" si="16"/>
        <v>4709.3</v>
      </c>
      <c r="Q42" s="172">
        <f t="shared" si="17"/>
        <v>4709.3</v>
      </c>
      <c r="R42" s="173">
        <f>+pronostico!N41*8%</f>
        <v>3767.44</v>
      </c>
      <c r="S42" s="174">
        <f t="shared" si="4"/>
        <v>10699529.6</v>
      </c>
      <c r="T42" s="175">
        <f t="shared" si="5"/>
        <v>5349764.8</v>
      </c>
      <c r="U42" s="173">
        <f>+pronostico!N41*8%</f>
        <v>3767.44</v>
      </c>
      <c r="V42" s="176">
        <v>0</v>
      </c>
      <c r="W42" s="177">
        <f t="shared" si="22"/>
        <v>0</v>
      </c>
      <c r="X42" s="173">
        <f>+pronostico!N41*2%</f>
        <v>941.86</v>
      </c>
      <c r="Y42" s="178">
        <f t="shared" si="8"/>
        <v>2674882.4</v>
      </c>
      <c r="Z42" s="178">
        <f t="shared" si="9"/>
        <v>1337441.2</v>
      </c>
      <c r="AA42" s="173">
        <f>+pronostico!N41*2%</f>
        <v>941.86</v>
      </c>
      <c r="AB42" s="179">
        <f t="shared" si="10"/>
        <v>2674882.4</v>
      </c>
      <c r="AC42" s="180">
        <f t="shared" si="11"/>
        <v>1337441.2</v>
      </c>
      <c r="AD42" s="173">
        <f>+pronostico!N41*10%</f>
        <v>4709.3</v>
      </c>
      <c r="AE42" s="176">
        <f t="shared" si="23"/>
        <v>13374412</v>
      </c>
      <c r="AF42" s="177">
        <f t="shared" si="23"/>
        <v>6687206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+pronostico!N42*50%</f>
        <v>21241</v>
      </c>
      <c r="G43" s="137">
        <f t="shared" si="13"/>
        <v>80715800</v>
      </c>
      <c r="H43" s="138">
        <f t="shared" si="13"/>
        <v>32286320</v>
      </c>
      <c r="I43" s="137">
        <f t="shared" si="21"/>
        <v>12744.6</v>
      </c>
      <c r="J43" s="139">
        <f t="shared" si="15"/>
        <v>6372.3</v>
      </c>
      <c r="K43" s="167">
        <f t="shared" si="0"/>
        <v>2124.1</v>
      </c>
      <c r="L43" s="168" t="s">
        <v>21</v>
      </c>
      <c r="M43" s="169">
        <f>+pronostico!N42*20%</f>
        <v>8496.4</v>
      </c>
      <c r="N43" s="170">
        <f t="shared" si="2"/>
        <v>32286320</v>
      </c>
      <c r="O43" s="171">
        <f t="shared" si="3"/>
        <v>12914528</v>
      </c>
      <c r="P43" s="170">
        <f t="shared" si="16"/>
        <v>4248.2</v>
      </c>
      <c r="Q43" s="172">
        <f t="shared" si="17"/>
        <v>4248.2</v>
      </c>
      <c r="R43" s="173">
        <f>+pronostico!N42*8%</f>
        <v>3398.56</v>
      </c>
      <c r="S43" s="174">
        <f t="shared" si="4"/>
        <v>12914528</v>
      </c>
      <c r="T43" s="175">
        <f t="shared" si="5"/>
        <v>5165811.2</v>
      </c>
      <c r="U43" s="173">
        <f>+pronostico!N42*8%</f>
        <v>3398.56</v>
      </c>
      <c r="V43" s="176">
        <v>0</v>
      </c>
      <c r="W43" s="177">
        <f t="shared" si="22"/>
        <v>0</v>
      </c>
      <c r="X43" s="173">
        <f>+pronostico!N42*2%</f>
        <v>849.64</v>
      </c>
      <c r="Y43" s="178">
        <f t="shared" si="8"/>
        <v>3228632</v>
      </c>
      <c r="Z43" s="178">
        <f t="shared" si="9"/>
        <v>1291452.8</v>
      </c>
      <c r="AA43" s="173">
        <f>+pronostico!N42*2%</f>
        <v>849.64</v>
      </c>
      <c r="AB43" s="179">
        <f t="shared" si="10"/>
        <v>3228632</v>
      </c>
      <c r="AC43" s="180">
        <f t="shared" si="11"/>
        <v>1291452.8</v>
      </c>
      <c r="AD43" s="173">
        <f>+pronostico!N42*10%</f>
        <v>4248.2</v>
      </c>
      <c r="AE43" s="176">
        <f t="shared" si="23"/>
        <v>16143160</v>
      </c>
      <c r="AF43" s="177">
        <f t="shared" si="23"/>
        <v>6457264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+pronostico!N43*50%</f>
        <v>28353.954778380383</v>
      </c>
      <c r="G44" s="137">
        <f t="shared" si="13"/>
        <v>97537604.437628523</v>
      </c>
      <c r="H44" s="138">
        <f t="shared" si="13"/>
        <v>48768802.218814261</v>
      </c>
      <c r="I44" s="137">
        <f t="shared" si="21"/>
        <v>17012.372867028229</v>
      </c>
      <c r="J44" s="139">
        <f t="shared" si="15"/>
        <v>8506.1864335141145</v>
      </c>
      <c r="K44" s="167">
        <f t="shared" si="0"/>
        <v>2835.3954778380385</v>
      </c>
      <c r="L44" s="168" t="s">
        <v>21</v>
      </c>
      <c r="M44" s="169">
        <f>+pronostico!N43*20%</f>
        <v>11341.581911352154</v>
      </c>
      <c r="N44" s="170">
        <f t="shared" si="2"/>
        <v>39015041.775051408</v>
      </c>
      <c r="O44" s="171">
        <f t="shared" si="3"/>
        <v>19507520.887525704</v>
      </c>
      <c r="P44" s="170">
        <f t="shared" si="16"/>
        <v>5670.7909556760769</v>
      </c>
      <c r="Q44" s="172">
        <f t="shared" si="17"/>
        <v>5670.7909556760769</v>
      </c>
      <c r="R44" s="173">
        <f>+pronostico!N43*8%</f>
        <v>4536.632764540861</v>
      </c>
      <c r="S44" s="174">
        <f t="shared" si="4"/>
        <v>15606016.710020563</v>
      </c>
      <c r="T44" s="175">
        <f t="shared" si="5"/>
        <v>7803008.3550102813</v>
      </c>
      <c r="U44" s="173">
        <f>+pronostico!N43*8%</f>
        <v>4536.632764540861</v>
      </c>
      <c r="V44" s="176">
        <f t="shared" ref="V44:V51" si="24">U44*D44</f>
        <v>15606016.710020563</v>
      </c>
      <c r="W44" s="177">
        <f t="shared" si="22"/>
        <v>7803008.3550102813</v>
      </c>
      <c r="X44" s="173">
        <f>+pronostico!N43*2%</f>
        <v>1134.1581911352152</v>
      </c>
      <c r="Y44" s="178">
        <f t="shared" si="8"/>
        <v>3901504.1775051407</v>
      </c>
      <c r="Z44" s="178">
        <f t="shared" si="9"/>
        <v>1950752.0887525703</v>
      </c>
      <c r="AA44" s="173">
        <f>+pronostico!N43*2%</f>
        <v>1134.1581911352152</v>
      </c>
      <c r="AB44" s="179">
        <f t="shared" si="10"/>
        <v>3901504.1775051407</v>
      </c>
      <c r="AC44" s="180">
        <f t="shared" si="11"/>
        <v>1950752.0887525703</v>
      </c>
      <c r="AD44" s="173">
        <f>+pronostico!N43*10%</f>
        <v>5670.7909556760769</v>
      </c>
      <c r="AE44" s="176">
        <f t="shared" si="23"/>
        <v>19507520.887525704</v>
      </c>
      <c r="AF44" s="177">
        <f t="shared" si="23"/>
        <v>9753760.4437628519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+pronostico!N44*50%</f>
        <v>33310.430163804202</v>
      </c>
      <c r="G45" s="137">
        <f t="shared" si="13"/>
        <v>68619486.137436658</v>
      </c>
      <c r="H45" s="138">
        <f t="shared" si="13"/>
        <v>34309743.068718329</v>
      </c>
      <c r="I45" s="137">
        <f t="shared" si="21"/>
        <v>19986.25809828252</v>
      </c>
      <c r="J45" s="139">
        <f t="shared" si="15"/>
        <v>9993.1290491412601</v>
      </c>
      <c r="K45" s="167">
        <f t="shared" si="0"/>
        <v>3331.0430163804203</v>
      </c>
      <c r="L45" s="168" t="s">
        <v>21</v>
      </c>
      <c r="M45" s="169">
        <f>+pronostico!N44*20%</f>
        <v>13324.172065521681</v>
      </c>
      <c r="N45" s="170">
        <f t="shared" si="2"/>
        <v>27447794.454974663</v>
      </c>
      <c r="O45" s="171">
        <f t="shared" si="3"/>
        <v>13723897.227487331</v>
      </c>
      <c r="P45" s="170">
        <f t="shared" si="16"/>
        <v>6662.0860327608407</v>
      </c>
      <c r="Q45" s="172">
        <f t="shared" si="17"/>
        <v>6662.0860327608407</v>
      </c>
      <c r="R45" s="173">
        <f>+pronostico!N44*8%</f>
        <v>5329.6688262086727</v>
      </c>
      <c r="S45" s="174">
        <f t="shared" si="4"/>
        <v>10979117.781989865</v>
      </c>
      <c r="T45" s="175">
        <f t="shared" si="5"/>
        <v>5489558.8909949325</v>
      </c>
      <c r="U45" s="173">
        <f>+pronostico!N44*8%</f>
        <v>5329.6688262086727</v>
      </c>
      <c r="V45" s="176">
        <f t="shared" si="24"/>
        <v>10979117.781989865</v>
      </c>
      <c r="W45" s="177">
        <f t="shared" si="22"/>
        <v>5489558.8909949325</v>
      </c>
      <c r="X45" s="173">
        <f>+pronostico!N44*2%</f>
        <v>1332.4172065521682</v>
      </c>
      <c r="Y45" s="178">
        <f t="shared" si="8"/>
        <v>2744779.4454974663</v>
      </c>
      <c r="Z45" s="178">
        <f t="shared" si="9"/>
        <v>1372389.7227487331</v>
      </c>
      <c r="AA45" s="173">
        <f>+pronostico!N44*2%</f>
        <v>1332.4172065521682</v>
      </c>
      <c r="AB45" s="179">
        <f t="shared" si="10"/>
        <v>2744779.4454974663</v>
      </c>
      <c r="AC45" s="180">
        <f t="shared" si="11"/>
        <v>1372389.7227487331</v>
      </c>
      <c r="AD45" s="173">
        <f>+pronostico!N44*10%</f>
        <v>6662.0860327608407</v>
      </c>
      <c r="AE45" s="176">
        <f t="shared" si="23"/>
        <v>13723897.227487331</v>
      </c>
      <c r="AF45" s="177">
        <f t="shared" si="23"/>
        <v>6861948.6137436656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+pronostico!N45*50%</f>
        <v>17128.995817273477</v>
      </c>
      <c r="G46" s="137">
        <f t="shared" si="13"/>
        <v>48132478.246538468</v>
      </c>
      <c r="H46" s="138">
        <f t="shared" si="13"/>
        <v>24066239.123269234</v>
      </c>
      <c r="I46" s="137">
        <f t="shared" si="21"/>
        <v>10277.397490364086</v>
      </c>
      <c r="J46" s="139">
        <f t="shared" si="15"/>
        <v>5138.6987451820432</v>
      </c>
      <c r="K46" s="167">
        <f t="shared" si="0"/>
        <v>1712.8995817273478</v>
      </c>
      <c r="L46" s="168" t="s">
        <v>21</v>
      </c>
      <c r="M46" s="169">
        <f>+pronostico!N45*20%</f>
        <v>6851.5983269093913</v>
      </c>
      <c r="N46" s="170">
        <f t="shared" si="2"/>
        <v>19252991.298615389</v>
      </c>
      <c r="O46" s="171">
        <f t="shared" si="3"/>
        <v>9626495.6493076943</v>
      </c>
      <c r="P46" s="170">
        <f t="shared" si="16"/>
        <v>3425.7991634546956</v>
      </c>
      <c r="Q46" s="172">
        <f t="shared" si="17"/>
        <v>3425.7991634546956</v>
      </c>
      <c r="R46" s="173">
        <f>+pronostico!N45*8%</f>
        <v>2740.6393307637563</v>
      </c>
      <c r="S46" s="174">
        <f t="shared" si="4"/>
        <v>7701196.5194461551</v>
      </c>
      <c r="T46" s="175">
        <f t="shared" si="5"/>
        <v>3850598.2597230775</v>
      </c>
      <c r="U46" s="173">
        <f>+pronostico!N45*8%</f>
        <v>2740.6393307637563</v>
      </c>
      <c r="V46" s="176">
        <f t="shared" si="24"/>
        <v>7701196.5194461551</v>
      </c>
      <c r="W46" s="177">
        <f t="shared" si="22"/>
        <v>3850598.2597230775</v>
      </c>
      <c r="X46" s="173">
        <f>+pronostico!N45*2%</f>
        <v>685.15983269093908</v>
      </c>
      <c r="Y46" s="178">
        <f t="shared" si="8"/>
        <v>1925299.1298615388</v>
      </c>
      <c r="Z46" s="178">
        <f t="shared" si="9"/>
        <v>962649.56493076938</v>
      </c>
      <c r="AA46" s="173">
        <f>+pronostico!N45*2%</f>
        <v>685.15983269093908</v>
      </c>
      <c r="AB46" s="179">
        <f t="shared" si="10"/>
        <v>1925299.1298615388</v>
      </c>
      <c r="AC46" s="180">
        <f t="shared" si="11"/>
        <v>962649.56493076938</v>
      </c>
      <c r="AD46" s="173">
        <f>+pronostico!N45*10%</f>
        <v>3425.7991634546956</v>
      </c>
      <c r="AE46" s="176">
        <f t="shared" si="23"/>
        <v>9626495.6493076943</v>
      </c>
      <c r="AF46" s="177">
        <f t="shared" si="23"/>
        <v>4813247.8246538471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+pronostico!N46*50%</f>
        <v>13994.754029431968</v>
      </c>
      <c r="G47" s="137">
        <f t="shared" si="13"/>
        <v>57938281.681848347</v>
      </c>
      <c r="H47" s="138">
        <f t="shared" si="13"/>
        <v>23175312.672739342</v>
      </c>
      <c r="I47" s="137">
        <f t="shared" si="21"/>
        <v>8396.85241765918</v>
      </c>
      <c r="J47" s="139">
        <f t="shared" si="15"/>
        <v>4198.42620882959</v>
      </c>
      <c r="K47" s="167">
        <f t="shared" si="0"/>
        <v>1399.475402943197</v>
      </c>
      <c r="L47" s="168" t="s">
        <v>21</v>
      </c>
      <c r="M47" s="169">
        <f>+pronostico!N46*20%</f>
        <v>5597.9016117727879</v>
      </c>
      <c r="N47" s="170">
        <f t="shared" si="2"/>
        <v>23175312.672739342</v>
      </c>
      <c r="O47" s="171">
        <f t="shared" si="3"/>
        <v>9270125.0690957364</v>
      </c>
      <c r="P47" s="170">
        <f t="shared" si="16"/>
        <v>2798.9508058863939</v>
      </c>
      <c r="Q47" s="172">
        <f t="shared" si="17"/>
        <v>2798.9508058863939</v>
      </c>
      <c r="R47" s="173">
        <f>+pronostico!N46*8%</f>
        <v>2239.1606447091149</v>
      </c>
      <c r="S47" s="174">
        <f t="shared" si="4"/>
        <v>9270125.0690957364</v>
      </c>
      <c r="T47" s="175">
        <f t="shared" si="5"/>
        <v>3708050.0276382947</v>
      </c>
      <c r="U47" s="173">
        <f>+pronostico!N46*8%</f>
        <v>2239.1606447091149</v>
      </c>
      <c r="V47" s="176">
        <f t="shared" si="24"/>
        <v>9270125.0690957364</v>
      </c>
      <c r="W47" s="177">
        <f t="shared" si="22"/>
        <v>3708050.0276382947</v>
      </c>
      <c r="X47" s="173">
        <f>+pronostico!N46*2%</f>
        <v>559.79016117727872</v>
      </c>
      <c r="Y47" s="178">
        <f t="shared" si="8"/>
        <v>2317531.2672739341</v>
      </c>
      <c r="Z47" s="178">
        <f t="shared" si="9"/>
        <v>927012.50690957368</v>
      </c>
      <c r="AA47" s="173">
        <f>+pronostico!N46*2%</f>
        <v>559.79016117727872</v>
      </c>
      <c r="AB47" s="179">
        <f t="shared" si="10"/>
        <v>2317531.2672739341</v>
      </c>
      <c r="AC47" s="180">
        <f t="shared" si="11"/>
        <v>927012.50690957368</v>
      </c>
      <c r="AD47" s="173">
        <f>+pronostico!N46*10%</f>
        <v>2798.9508058863939</v>
      </c>
      <c r="AE47" s="176">
        <f t="shared" si="23"/>
        <v>11587656.336369671</v>
      </c>
      <c r="AF47" s="177">
        <f t="shared" si="23"/>
        <v>4635062.5345478682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+pronostico!N47*50%</f>
        <v>15432.832189175642</v>
      </c>
      <c r="G48" s="137">
        <f t="shared" si="13"/>
        <v>33180589.206727631</v>
      </c>
      <c r="H48" s="138">
        <f t="shared" si="13"/>
        <v>16590294.603363816</v>
      </c>
      <c r="I48" s="137">
        <f t="shared" si="21"/>
        <v>9259.6993135053854</v>
      </c>
      <c r="J48" s="139">
        <f t="shared" si="15"/>
        <v>4629.8496567526927</v>
      </c>
      <c r="K48" s="167">
        <f t="shared" si="0"/>
        <v>1543.2832189175642</v>
      </c>
      <c r="L48" s="168" t="s">
        <v>21</v>
      </c>
      <c r="M48" s="169">
        <f>+pronostico!N47*20%</f>
        <v>6173.1328756702569</v>
      </c>
      <c r="N48" s="170">
        <f t="shared" si="2"/>
        <v>13272235.682691053</v>
      </c>
      <c r="O48" s="171">
        <f t="shared" si="3"/>
        <v>6636117.8413455263</v>
      </c>
      <c r="P48" s="170">
        <f t="shared" si="16"/>
        <v>3086.5664378351285</v>
      </c>
      <c r="Q48" s="172">
        <f t="shared" si="17"/>
        <v>3086.5664378351285</v>
      </c>
      <c r="R48" s="173">
        <f>+pronostico!N47*8%</f>
        <v>2469.2531502681027</v>
      </c>
      <c r="S48" s="174">
        <f t="shared" si="4"/>
        <v>5308894.2730764206</v>
      </c>
      <c r="T48" s="175">
        <f t="shared" si="5"/>
        <v>2654447.1365382103</v>
      </c>
      <c r="U48" s="173">
        <f>+pronostico!N47*8%</f>
        <v>2469.2531502681027</v>
      </c>
      <c r="V48" s="176">
        <f t="shared" si="24"/>
        <v>5308894.2730764206</v>
      </c>
      <c r="W48" s="177">
        <f t="shared" si="22"/>
        <v>2654447.1365382103</v>
      </c>
      <c r="X48" s="173">
        <f>+pronostico!N47*2%</f>
        <v>617.31328756702567</v>
      </c>
      <c r="Y48" s="178">
        <f t="shared" si="8"/>
        <v>1327223.5682691052</v>
      </c>
      <c r="Z48" s="178">
        <f t="shared" si="9"/>
        <v>663611.78413455258</v>
      </c>
      <c r="AA48" s="173">
        <f>+pronostico!N47*2%</f>
        <v>617.31328756702567</v>
      </c>
      <c r="AB48" s="179">
        <f t="shared" si="10"/>
        <v>1327223.5682691052</v>
      </c>
      <c r="AC48" s="180">
        <f t="shared" si="11"/>
        <v>663611.78413455258</v>
      </c>
      <c r="AD48" s="173">
        <f>+pronostico!N47*10%</f>
        <v>3086.5664378351285</v>
      </c>
      <c r="AE48" s="176">
        <f t="shared" si="23"/>
        <v>6636117.8413455263</v>
      </c>
      <c r="AF48" s="177">
        <f t="shared" si="23"/>
        <v>3318058.9206727631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+pronostico!N48*50%</f>
        <v>12245.409775752976</v>
      </c>
      <c r="G49" s="137">
        <f t="shared" si="13"/>
        <v>26327631.017868899</v>
      </c>
      <c r="H49" s="138">
        <f t="shared" si="13"/>
        <v>13163815.508934449</v>
      </c>
      <c r="I49" s="137">
        <f t="shared" si="21"/>
        <v>7347.2458654517859</v>
      </c>
      <c r="J49" s="139">
        <f t="shared" si="15"/>
        <v>3673.622932725893</v>
      </c>
      <c r="K49" s="167">
        <f t="shared" si="0"/>
        <v>1224.5409775752976</v>
      </c>
      <c r="L49" s="168" t="s">
        <v>21</v>
      </c>
      <c r="M49" s="169">
        <f>+pronostico!N48*20%</f>
        <v>4898.1639103011903</v>
      </c>
      <c r="N49" s="170">
        <f t="shared" si="2"/>
        <v>10531052.407147558</v>
      </c>
      <c r="O49" s="171">
        <f t="shared" si="3"/>
        <v>5265526.2035737792</v>
      </c>
      <c r="P49" s="170">
        <f t="shared" si="16"/>
        <v>2449.0819551505951</v>
      </c>
      <c r="Q49" s="172">
        <f t="shared" si="17"/>
        <v>2449.0819551505951</v>
      </c>
      <c r="R49" s="173">
        <f>+pronostico!N48*8%</f>
        <v>1959.2655641204763</v>
      </c>
      <c r="S49" s="174">
        <f t="shared" si="4"/>
        <v>4212420.9628590243</v>
      </c>
      <c r="T49" s="175">
        <f t="shared" si="5"/>
        <v>2106210.4814295121</v>
      </c>
      <c r="U49" s="173">
        <f>+pronostico!N48*8%</f>
        <v>1959.2655641204763</v>
      </c>
      <c r="V49" s="176">
        <f t="shared" si="24"/>
        <v>4212420.9628590243</v>
      </c>
      <c r="W49" s="177">
        <f t="shared" si="22"/>
        <v>2106210.4814295121</v>
      </c>
      <c r="X49" s="173">
        <f>+pronostico!N48*2%</f>
        <v>489.81639103011906</v>
      </c>
      <c r="Y49" s="178">
        <f t="shared" si="8"/>
        <v>1053105.2407147561</v>
      </c>
      <c r="Z49" s="178">
        <f t="shared" si="9"/>
        <v>526552.62035737804</v>
      </c>
      <c r="AA49" s="173">
        <f>+pronostico!N48*2%</f>
        <v>489.81639103011906</v>
      </c>
      <c r="AB49" s="179">
        <f t="shared" si="10"/>
        <v>1053105.2407147561</v>
      </c>
      <c r="AC49" s="180">
        <f t="shared" si="11"/>
        <v>526552.62035737804</v>
      </c>
      <c r="AD49" s="173">
        <f>+pronostico!N48*10%</f>
        <v>2449.0819551505951</v>
      </c>
      <c r="AE49" s="176">
        <f t="shared" si="23"/>
        <v>5265526.2035737792</v>
      </c>
      <c r="AF49" s="177">
        <f t="shared" si="23"/>
        <v>2632763.1017868896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+pronostico!N49*50%</f>
        <v>8965.3893001048655</v>
      </c>
      <c r="G50" s="137">
        <f t="shared" si="13"/>
        <v>36578788.344427854</v>
      </c>
      <c r="H50" s="138">
        <f t="shared" si="13"/>
        <v>14631515.337771142</v>
      </c>
      <c r="I50" s="137">
        <f t="shared" si="21"/>
        <v>5379.2335800629189</v>
      </c>
      <c r="J50" s="139">
        <f t="shared" si="15"/>
        <v>2689.6167900314595</v>
      </c>
      <c r="K50" s="167">
        <f t="shared" si="0"/>
        <v>896.53893001048664</v>
      </c>
      <c r="L50" s="168" t="s">
        <v>21</v>
      </c>
      <c r="M50" s="169">
        <f>+pronostico!N49*20%</f>
        <v>3586.1557200419466</v>
      </c>
      <c r="N50" s="170">
        <f t="shared" si="2"/>
        <v>14631515.337771142</v>
      </c>
      <c r="O50" s="171">
        <f t="shared" si="3"/>
        <v>5852606.1351084569</v>
      </c>
      <c r="P50" s="170">
        <f t="shared" si="16"/>
        <v>1793.0778600209733</v>
      </c>
      <c r="Q50" s="172">
        <f t="shared" si="17"/>
        <v>1793.0778600209733</v>
      </c>
      <c r="R50" s="173">
        <f>+pronostico!N49*8%</f>
        <v>1434.4622880167785</v>
      </c>
      <c r="S50" s="174">
        <f t="shared" si="4"/>
        <v>5852606.135108456</v>
      </c>
      <c r="T50" s="175">
        <f t="shared" si="5"/>
        <v>2341042.4540433823</v>
      </c>
      <c r="U50" s="173">
        <f>+pronostico!N49*8%</f>
        <v>1434.4622880167785</v>
      </c>
      <c r="V50" s="176">
        <f t="shared" si="24"/>
        <v>5852606.135108456</v>
      </c>
      <c r="W50" s="177">
        <f t="shared" si="22"/>
        <v>2341042.4540433823</v>
      </c>
      <c r="X50" s="173">
        <f>+pronostico!N49*2%</f>
        <v>358.61557200419463</v>
      </c>
      <c r="Y50" s="178">
        <f t="shared" si="8"/>
        <v>1463151.533777114</v>
      </c>
      <c r="Z50" s="178">
        <f t="shared" si="9"/>
        <v>585260.61351084558</v>
      </c>
      <c r="AA50" s="173">
        <f>+pronostico!N49*2%</f>
        <v>358.61557200419463</v>
      </c>
      <c r="AB50" s="179">
        <f t="shared" si="10"/>
        <v>1463151.533777114</v>
      </c>
      <c r="AC50" s="180">
        <f t="shared" si="11"/>
        <v>585260.61351084558</v>
      </c>
      <c r="AD50" s="173">
        <f>+pronostico!N49*10%</f>
        <v>1793.0778600209733</v>
      </c>
      <c r="AE50" s="176">
        <f t="shared" si="23"/>
        <v>7315757.668885571</v>
      </c>
      <c r="AF50" s="177">
        <f t="shared" si="23"/>
        <v>2926303.0675542285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+pronostico!N50*50%</f>
        <v>9767.1720830410413</v>
      </c>
      <c r="G51" s="150">
        <f t="shared" si="13"/>
        <v>54305476.781708188</v>
      </c>
      <c r="H51" s="138">
        <f t="shared" si="13"/>
        <v>21722190.712683275</v>
      </c>
      <c r="I51" s="150">
        <f t="shared" si="21"/>
        <v>5860.3032498246248</v>
      </c>
      <c r="J51" s="151">
        <f t="shared" si="15"/>
        <v>2930.1516249123124</v>
      </c>
      <c r="K51" s="181">
        <f t="shared" si="0"/>
        <v>976.71720830410413</v>
      </c>
      <c r="L51" s="182" t="s">
        <v>21</v>
      </c>
      <c r="M51" s="169">
        <f>+pronostico!N50*20%</f>
        <v>3906.8688332164165</v>
      </c>
      <c r="N51" s="170">
        <f t="shared" si="2"/>
        <v>21722190.712683275</v>
      </c>
      <c r="O51" s="171">
        <f t="shared" si="3"/>
        <v>8688876.2850733101</v>
      </c>
      <c r="P51" s="183">
        <f t="shared" si="16"/>
        <v>1953.4344166082083</v>
      </c>
      <c r="Q51" s="184">
        <f t="shared" si="17"/>
        <v>1953.4344166082083</v>
      </c>
      <c r="R51" s="173">
        <f>+pronostico!N50*8%</f>
        <v>1562.7475332865667</v>
      </c>
      <c r="S51" s="174">
        <f t="shared" si="4"/>
        <v>8688876.285073312</v>
      </c>
      <c r="T51" s="175">
        <f t="shared" si="5"/>
        <v>3475550.514029325</v>
      </c>
      <c r="U51" s="173">
        <f>+pronostico!N50*8%</f>
        <v>1562.7475332865667</v>
      </c>
      <c r="V51" s="176">
        <f t="shared" si="24"/>
        <v>8688876.285073312</v>
      </c>
      <c r="W51" s="177">
        <f t="shared" si="22"/>
        <v>3475550.514029325</v>
      </c>
      <c r="X51" s="173">
        <f>+pronostico!N50*2%</f>
        <v>390.68688332164169</v>
      </c>
      <c r="Y51" s="178">
        <f t="shared" si="8"/>
        <v>2172219.071268328</v>
      </c>
      <c r="Z51" s="178">
        <f t="shared" si="9"/>
        <v>868887.62850733125</v>
      </c>
      <c r="AA51" s="173">
        <f>+pronostico!N50*2%</f>
        <v>390.68688332164169</v>
      </c>
      <c r="AB51" s="179">
        <f t="shared" si="10"/>
        <v>2172219.071268328</v>
      </c>
      <c r="AC51" s="180">
        <f t="shared" si="11"/>
        <v>868887.62850733125</v>
      </c>
      <c r="AD51" s="173">
        <f>+pronostico!N50*10%</f>
        <v>1953.4344166082083</v>
      </c>
      <c r="AE51" s="176">
        <f t="shared" si="23"/>
        <v>10861095.356341638</v>
      </c>
      <c r="AF51" s="177">
        <f t="shared" si="23"/>
        <v>4344438.1425366551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5134632742.6260014</v>
      </c>
      <c r="H52" s="186">
        <f>SUM(H4:H51)</f>
        <v>2271691508.7965155</v>
      </c>
      <c r="I52" s="187"/>
      <c r="J52" s="188"/>
      <c r="K52" s="188"/>
      <c r="L52" s="189"/>
      <c r="M52" s="185"/>
      <c r="N52" s="277">
        <f>SUM(N4:N51)</f>
        <v>2053853097.0504003</v>
      </c>
      <c r="O52" s="190">
        <f>SUM(O4:O51)</f>
        <v>908676603.51860619</v>
      </c>
      <c r="P52" s="187"/>
      <c r="Q52" s="189"/>
      <c r="R52" s="185"/>
      <c r="S52" s="274">
        <f>SUM(S4:S51)</f>
        <v>821541238.82016003</v>
      </c>
      <c r="T52" s="191">
        <f>SUM(T4:T51)</f>
        <v>363470641.40744239</v>
      </c>
      <c r="U52" s="185"/>
      <c r="V52" s="274">
        <f>SUM(V4:V51)</f>
        <v>585407462.02016008</v>
      </c>
      <c r="W52" s="191">
        <f>SUM(W4:W51)</f>
        <v>255688456.04744247</v>
      </c>
      <c r="X52" s="185"/>
      <c r="Y52" s="274">
        <f>SUM(Y4:Y51)</f>
        <v>205385309.70504001</v>
      </c>
      <c r="Z52" s="192">
        <f>SUM(Z4:Z51)</f>
        <v>90867660.351860598</v>
      </c>
      <c r="AA52" s="193"/>
      <c r="AB52" s="274">
        <f>SUM(AB4:AB51)</f>
        <v>205385309.70504001</v>
      </c>
      <c r="AC52" s="194">
        <f>SUM(AC4:AC51)</f>
        <v>90867660.351860598</v>
      </c>
      <c r="AD52" s="193"/>
      <c r="AE52" s="274">
        <f>SUM(AE4:AE51)</f>
        <v>1026926548.5252001</v>
      </c>
      <c r="AF52" s="194">
        <f>SUM(AF4:AF51)</f>
        <v>454338301.75930309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1540389822.7878003</v>
      </c>
      <c r="H53" s="272"/>
      <c r="I53" s="255"/>
      <c r="J53" s="254"/>
      <c r="K53" s="259"/>
      <c r="L53" s="256"/>
      <c r="M53" s="253"/>
      <c r="N53" s="278">
        <f>+N52*20%</f>
        <v>410770619.41008008</v>
      </c>
      <c r="O53" s="272"/>
      <c r="P53" s="260"/>
      <c r="Q53" s="261"/>
      <c r="R53" s="262"/>
      <c r="S53" s="275">
        <f>+S52*12%</f>
        <v>98584948.658419207</v>
      </c>
      <c r="T53" s="272"/>
      <c r="U53" s="283"/>
      <c r="V53" s="275">
        <f>+V52*12%</f>
        <v>70248895.442419201</v>
      </c>
      <c r="W53" s="272"/>
      <c r="X53" s="283"/>
      <c r="Y53" s="275"/>
      <c r="Z53" s="284"/>
      <c r="AA53" s="283"/>
      <c r="AB53" s="275">
        <f>+AB52*12%</f>
        <v>24646237.164604802</v>
      </c>
      <c r="AC53" s="272"/>
      <c r="AD53" s="283"/>
      <c r="AE53" s="275">
        <f>+AE52*12%</f>
        <v>123231185.823024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3594242919.838201</v>
      </c>
      <c r="H54" s="273"/>
      <c r="I54" s="268"/>
      <c r="J54" s="267"/>
      <c r="K54" s="267"/>
      <c r="L54" s="269"/>
      <c r="M54" s="266"/>
      <c r="N54" s="279">
        <f>+N52-N53</f>
        <v>1643082477.6403203</v>
      </c>
      <c r="O54" s="273"/>
      <c r="P54" s="268"/>
      <c r="Q54" s="269"/>
      <c r="R54" s="266"/>
      <c r="S54" s="276">
        <f>+S52-S53</f>
        <v>722956290.16174078</v>
      </c>
      <c r="T54" s="273"/>
      <c r="U54" s="285"/>
      <c r="V54" s="276">
        <f>+V52-V53</f>
        <v>515158566.57774091</v>
      </c>
      <c r="W54" s="273"/>
      <c r="X54" s="285"/>
      <c r="Y54" s="276">
        <f>+Y52-Y53</f>
        <v>205385309.70504001</v>
      </c>
      <c r="Z54" s="286"/>
      <c r="AA54" s="285"/>
      <c r="AB54" s="276">
        <f>+AB52-AB53</f>
        <v>180739072.54043519</v>
      </c>
      <c r="AC54" s="273"/>
      <c r="AD54" s="285"/>
      <c r="AE54" s="276">
        <f>+AE52-AE53</f>
        <v>903695362.70217609</v>
      </c>
      <c r="AF54" s="273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786" t="s">
        <v>161</v>
      </c>
      <c r="G56" s="787"/>
      <c r="H56" s="788"/>
      <c r="M56" s="786" t="s">
        <v>160</v>
      </c>
      <c r="N56" s="787"/>
      <c r="O56" s="788"/>
      <c r="R56" s="786" t="s">
        <v>159</v>
      </c>
      <c r="S56" s="787"/>
      <c r="T56" s="788"/>
    </row>
    <row r="57" spans="1:32" x14ac:dyDescent="0.25">
      <c r="F57" s="3" t="s">
        <v>155</v>
      </c>
      <c r="G57" s="3"/>
      <c r="H57" s="271">
        <f>+G52</f>
        <v>5134632742.6260014</v>
      </c>
      <c r="M57" s="3" t="s">
        <v>155</v>
      </c>
      <c r="N57" s="3"/>
      <c r="O57" s="271">
        <f>+N52</f>
        <v>2053853097.0504003</v>
      </c>
      <c r="R57" s="3" t="s">
        <v>155</v>
      </c>
      <c r="S57" s="3"/>
      <c r="T57" s="271">
        <f>S52+V52+Y52+AB52+AE52</f>
        <v>2844645868.7756004</v>
      </c>
    </row>
    <row r="58" spans="1:32" x14ac:dyDescent="0.25">
      <c r="F58" s="3" t="s">
        <v>156</v>
      </c>
      <c r="G58" s="3"/>
      <c r="H58" s="271">
        <f>+G52-H52</f>
        <v>2862941233.8294859</v>
      </c>
      <c r="M58" s="3" t="s">
        <v>156</v>
      </c>
      <c r="N58" s="3"/>
      <c r="O58" s="271">
        <f>+N52-O52</f>
        <v>1145176493.5317941</v>
      </c>
      <c r="R58" s="3" t="s">
        <v>156</v>
      </c>
      <c r="S58" s="3"/>
      <c r="T58" s="271">
        <f>T57-T59</f>
        <v>1589413148.8576913</v>
      </c>
    </row>
    <row r="59" spans="1:32" x14ac:dyDescent="0.25">
      <c r="F59" s="3" t="s">
        <v>157</v>
      </c>
      <c r="G59" s="3"/>
      <c r="H59" s="271">
        <f>+H52</f>
        <v>2271691508.7965155</v>
      </c>
      <c r="M59" s="3" t="s">
        <v>157</v>
      </c>
      <c r="N59" s="3"/>
      <c r="O59" s="271">
        <f>+O52</f>
        <v>908676603.51860619</v>
      </c>
      <c r="R59" s="3" t="s">
        <v>157</v>
      </c>
      <c r="S59" s="3"/>
      <c r="T59" s="271">
        <f>T52+W52+Z52+AC52+AF52</f>
        <v>1255232719.9179091</v>
      </c>
    </row>
    <row r="60" spans="1:32" x14ac:dyDescent="0.25">
      <c r="F60" s="3" t="s">
        <v>147</v>
      </c>
      <c r="G60" s="3"/>
      <c r="H60" s="271">
        <f>+G53</f>
        <v>1540389822.7878003</v>
      </c>
      <c r="M60" s="3" t="s">
        <v>147</v>
      </c>
      <c r="N60" s="3"/>
      <c r="O60" s="271">
        <f>+N53</f>
        <v>410770619.41008008</v>
      </c>
      <c r="R60" s="3" t="s">
        <v>147</v>
      </c>
      <c r="S60" s="3"/>
      <c r="T60" s="271">
        <f>S53+V53+AB53+AE53</f>
        <v>316711267.08846724</v>
      </c>
    </row>
    <row r="61" spans="1:32" x14ac:dyDescent="0.25">
      <c r="F61" s="3" t="s">
        <v>158</v>
      </c>
      <c r="G61" s="3"/>
      <c r="H61" s="271">
        <f>+H59-H60</f>
        <v>731301686.00871515</v>
      </c>
      <c r="M61" s="3" t="s">
        <v>158</v>
      </c>
      <c r="N61" s="3"/>
      <c r="O61" s="271">
        <f>+O59-O60</f>
        <v>497905984.10852611</v>
      </c>
      <c r="R61" s="3" t="s">
        <v>158</v>
      </c>
      <c r="S61" s="3"/>
      <c r="T61" s="271">
        <f>+T59-T60</f>
        <v>938521452.82944191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productos</vt:lpstr>
      <vt:lpstr>RED DISTRIBUCION MES 2</vt:lpstr>
      <vt:lpstr>RED DISTRIBUCION MES 3</vt:lpstr>
      <vt:lpstr>RED DISTRIBUCION MES 4</vt:lpstr>
      <vt:lpstr>RED DISTRIBUCION MES 5</vt:lpstr>
      <vt:lpstr>RED DISTRIBUCION MES 6</vt:lpstr>
      <vt:lpstr>RED DISTRIBUCION MES 7</vt:lpstr>
      <vt:lpstr>RED DISTRIBUCION MES 8</vt:lpstr>
      <vt:lpstr>RED DISTRIBUCION MES 9</vt:lpstr>
      <vt:lpstr>RED DISTRIBUCION MES 10</vt:lpstr>
      <vt:lpstr>RED DISTRIBUCION MES 11</vt:lpstr>
      <vt:lpstr>RED DISTRIBUCION MES 12</vt:lpstr>
      <vt:lpstr>PRODUCTOS 2</vt:lpstr>
      <vt:lpstr>pronostico</vt:lpstr>
      <vt:lpstr>RED DISTRIBUCION MES 1</vt:lpstr>
      <vt:lpstr>1-CLIENTE-RED-ENDEUDAMIEN</vt:lpstr>
      <vt:lpstr>2-HIPERVINCULO RUTAS  DIST</vt:lpstr>
      <vt:lpstr>3-PROGRAMACION DE VISITAS</vt:lpstr>
      <vt:lpstr>3-ZONIFICACION DE CARGA</vt:lpstr>
      <vt:lpstr>4-ENDEUDAMIENTO RED LARGA</vt:lpstr>
      <vt:lpstr>4-ENDEUDAMIENTO RED MEDIA</vt:lpstr>
      <vt:lpstr>4-ENDEUDAMIENTO RED CORTA</vt:lpstr>
      <vt:lpstr>LISTA DE PEDIDOS</vt:lpstr>
      <vt:lpstr>5-DISEÑO DE REDES</vt:lpstr>
      <vt:lpstr>6-COSTOS DE LA OPERACION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2012-05-24T23:18:26Z</cp:lastPrinted>
  <dcterms:created xsi:type="dcterms:W3CDTF">2012-05-22T22:40:27Z</dcterms:created>
  <dcterms:modified xsi:type="dcterms:W3CDTF">2012-07-14T00:23:16Z</dcterms:modified>
</cp:coreProperties>
</file>