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2915" windowHeight="5190" tabRatio="989" firstSheet="4" activeTab="8"/>
  </bookViews>
  <sheets>
    <sheet name="LISTA MAESTRA" sheetId="1" r:id="rId1"/>
    <sheet name="VENTAS AÑO ANTERIOR" sheetId="2" r:id="rId2"/>
    <sheet name="PROYECCIONES" sheetId="3" r:id="rId3"/>
    <sheet name="graficos con linea de tendencia" sheetId="4" r:id="rId4"/>
    <sheet name="PROYECCION A 12 MESES" sheetId="6" r:id="rId5"/>
    <sheet name="PRONOSTICO COLOMBINA" sheetId="5" r:id="rId6"/>
    <sheet name="eoq y ss" sheetId="8" r:id="rId7"/>
    <sheet name="MPS POR TRES MESES" sheetId="9" r:id="rId8"/>
    <sheet name="MPS POR EL AÑO" sheetId="10" r:id="rId9"/>
  </sheets>
  <calcPr calcId="144525"/>
</workbook>
</file>

<file path=xl/calcChain.xml><?xml version="1.0" encoding="utf-8"?>
<calcChain xmlns="http://schemas.openxmlformats.org/spreadsheetml/2006/main">
  <c r="B12" i="10" l="1"/>
  <c r="M74" i="10" l="1"/>
  <c r="L74" i="10"/>
  <c r="K74" i="10"/>
  <c r="J74" i="10"/>
  <c r="I74" i="10"/>
  <c r="H74" i="10"/>
  <c r="G74" i="10"/>
  <c r="F74" i="10"/>
  <c r="E74" i="10"/>
  <c r="C74" i="10"/>
  <c r="D74" i="10"/>
  <c r="B74" i="10"/>
  <c r="B35" i="10"/>
  <c r="C61" i="10" l="1"/>
  <c r="D61" i="10"/>
  <c r="E61" i="10"/>
  <c r="F61" i="10"/>
  <c r="G61" i="10"/>
  <c r="H61" i="10"/>
  <c r="I61" i="10"/>
  <c r="J61" i="10"/>
  <c r="K61" i="10"/>
  <c r="L61" i="10"/>
  <c r="M61" i="10"/>
  <c r="B61" i="10"/>
  <c r="B62" i="10" s="1"/>
  <c r="P19" i="8"/>
  <c r="C54" i="8"/>
  <c r="K65" i="10" s="1"/>
  <c r="C48" i="10"/>
  <c r="D48" i="10"/>
  <c r="E48" i="10"/>
  <c r="F48" i="10"/>
  <c r="G48" i="10"/>
  <c r="H48" i="10"/>
  <c r="I48" i="10"/>
  <c r="J48" i="10"/>
  <c r="K48" i="10"/>
  <c r="L48" i="10"/>
  <c r="M48" i="10"/>
  <c r="B48" i="10"/>
  <c r="B49" i="10" s="1"/>
  <c r="G48" i="8"/>
  <c r="G47" i="8"/>
  <c r="C35" i="10"/>
  <c r="D35" i="10"/>
  <c r="E35" i="10"/>
  <c r="F35" i="10"/>
  <c r="G35" i="10"/>
  <c r="H35" i="10"/>
  <c r="I35" i="10"/>
  <c r="J35" i="10"/>
  <c r="K35" i="10"/>
  <c r="L35" i="10"/>
  <c r="M35" i="10"/>
  <c r="B36" i="10"/>
  <c r="B38" i="10" s="1"/>
  <c r="C34" i="10" s="1"/>
  <c r="C36" i="10" s="1"/>
  <c r="D8" i="10"/>
  <c r="E8" i="10" s="1"/>
  <c r="F8" i="10" s="1"/>
  <c r="G8" i="10" s="1"/>
  <c r="H8" i="10" s="1"/>
  <c r="I8" i="10" s="1"/>
  <c r="J8" i="10" s="1"/>
  <c r="K8" i="10" s="1"/>
  <c r="L8" i="10" s="1"/>
  <c r="M8" i="10" s="1"/>
  <c r="C8" i="10"/>
  <c r="C21" i="10"/>
  <c r="D21" i="10" s="1"/>
  <c r="E21" i="10" s="1"/>
  <c r="F21" i="10" s="1"/>
  <c r="G21" i="10" s="1"/>
  <c r="H21" i="10" s="1"/>
  <c r="I21" i="10" s="1"/>
  <c r="J21" i="10" s="1"/>
  <c r="K21" i="10" s="1"/>
  <c r="L21" i="10" s="1"/>
  <c r="M21" i="10" s="1"/>
  <c r="G18" i="8"/>
  <c r="B25" i="10" s="1"/>
  <c r="B27" i="10"/>
  <c r="C23" i="10"/>
  <c r="D23" i="10"/>
  <c r="E23" i="10"/>
  <c r="F23" i="10"/>
  <c r="G23" i="10"/>
  <c r="H23" i="10"/>
  <c r="I23" i="10"/>
  <c r="J23" i="10"/>
  <c r="K23" i="10"/>
  <c r="L23" i="10"/>
  <c r="M23" i="10"/>
  <c r="B23" i="10"/>
  <c r="B24" i="10" s="1"/>
  <c r="C27" i="10"/>
  <c r="D27" i="10"/>
  <c r="E27" i="10"/>
  <c r="F27" i="10"/>
  <c r="G27" i="10"/>
  <c r="H27" i="10"/>
  <c r="I27" i="10"/>
  <c r="J27" i="10"/>
  <c r="K27" i="10"/>
  <c r="L27" i="10"/>
  <c r="M27" i="10"/>
  <c r="G5" i="8"/>
  <c r="C14" i="10"/>
  <c r="D14" i="10"/>
  <c r="E14" i="10"/>
  <c r="F14" i="10"/>
  <c r="G14" i="10"/>
  <c r="H14" i="10"/>
  <c r="I14" i="10"/>
  <c r="J14" i="10"/>
  <c r="K14" i="10"/>
  <c r="L14" i="10"/>
  <c r="M14" i="10"/>
  <c r="B14" i="10"/>
  <c r="C10" i="10"/>
  <c r="D10" i="10"/>
  <c r="E10" i="10"/>
  <c r="F10" i="10"/>
  <c r="G10" i="10"/>
  <c r="H10" i="10"/>
  <c r="I10" i="10"/>
  <c r="J10" i="10"/>
  <c r="K10" i="10"/>
  <c r="L10" i="10"/>
  <c r="M10" i="10"/>
  <c r="B10" i="10"/>
  <c r="M78" i="10"/>
  <c r="L78" i="10"/>
  <c r="K78" i="10"/>
  <c r="J78" i="10"/>
  <c r="I78" i="10"/>
  <c r="H78" i="10"/>
  <c r="G78" i="10"/>
  <c r="F78" i="10"/>
  <c r="E78" i="10"/>
  <c r="D78" i="10"/>
  <c r="C78" i="10"/>
  <c r="B78" i="10"/>
  <c r="B76" i="10"/>
  <c r="B75" i="10"/>
  <c r="C69" i="10"/>
  <c r="M65" i="10"/>
  <c r="L65" i="10"/>
  <c r="J65" i="10"/>
  <c r="I65" i="10"/>
  <c r="H65" i="10"/>
  <c r="G65" i="10"/>
  <c r="F65" i="10"/>
  <c r="E65" i="10"/>
  <c r="D65" i="10"/>
  <c r="C65" i="10"/>
  <c r="B65" i="10"/>
  <c r="B63" i="10"/>
  <c r="C56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B50" i="10"/>
  <c r="C43" i="10"/>
  <c r="M39" i="10"/>
  <c r="L39" i="10"/>
  <c r="K39" i="10"/>
  <c r="J39" i="10"/>
  <c r="I39" i="10"/>
  <c r="H39" i="10"/>
  <c r="G39" i="10"/>
  <c r="F39" i="10"/>
  <c r="E39" i="10"/>
  <c r="D39" i="10"/>
  <c r="C39" i="10"/>
  <c r="B39" i="10"/>
  <c r="B37" i="10"/>
  <c r="C30" i="10"/>
  <c r="C18" i="10"/>
  <c r="C77" i="9"/>
  <c r="D77" i="9"/>
  <c r="E77" i="9"/>
  <c r="F77" i="9"/>
  <c r="G77" i="9"/>
  <c r="H77" i="9"/>
  <c r="I77" i="9"/>
  <c r="J77" i="9"/>
  <c r="K77" i="9"/>
  <c r="L77" i="9"/>
  <c r="M77" i="9"/>
  <c r="B77" i="9"/>
  <c r="B75" i="9"/>
  <c r="C68" i="9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B74" i="9"/>
  <c r="K73" i="9"/>
  <c r="L73" i="9" s="1"/>
  <c r="M73" i="9" s="1"/>
  <c r="G73" i="9"/>
  <c r="H73" i="9" s="1"/>
  <c r="I73" i="9" s="1"/>
  <c r="C73" i="9"/>
  <c r="D73" i="9" s="1"/>
  <c r="E73" i="9" s="1"/>
  <c r="B62" i="9"/>
  <c r="C55" i="9"/>
  <c r="M64" i="9"/>
  <c r="L64" i="9"/>
  <c r="K64" i="9"/>
  <c r="J64" i="9"/>
  <c r="I64" i="9"/>
  <c r="H64" i="9"/>
  <c r="G64" i="9"/>
  <c r="F64" i="9"/>
  <c r="E64" i="9"/>
  <c r="D64" i="9"/>
  <c r="C64" i="9"/>
  <c r="B64" i="9"/>
  <c r="B61" i="9"/>
  <c r="K60" i="9"/>
  <c r="L60" i="9" s="1"/>
  <c r="M60" i="9" s="1"/>
  <c r="G60" i="9"/>
  <c r="H60" i="9" s="1"/>
  <c r="I60" i="9" s="1"/>
  <c r="C60" i="9"/>
  <c r="D60" i="9" s="1"/>
  <c r="E60" i="9" s="1"/>
  <c r="C51" i="9"/>
  <c r="D51" i="9"/>
  <c r="E51" i="9"/>
  <c r="F51" i="9"/>
  <c r="G51" i="9"/>
  <c r="H51" i="9"/>
  <c r="I51" i="9"/>
  <c r="J51" i="9"/>
  <c r="K51" i="9"/>
  <c r="L51" i="9"/>
  <c r="M51" i="9"/>
  <c r="B51" i="9"/>
  <c r="B49" i="9"/>
  <c r="K47" i="9"/>
  <c r="L47" i="9" s="1"/>
  <c r="M47" i="9" s="1"/>
  <c r="G47" i="9"/>
  <c r="H47" i="9" s="1"/>
  <c r="I47" i="9" s="1"/>
  <c r="C47" i="9"/>
  <c r="D47" i="9" s="1"/>
  <c r="E47" i="9" s="1"/>
  <c r="C42" i="9"/>
  <c r="B48" i="9"/>
  <c r="B36" i="9"/>
  <c r="C26" i="9"/>
  <c r="D26" i="9"/>
  <c r="E26" i="9"/>
  <c r="F26" i="9"/>
  <c r="G26" i="9"/>
  <c r="H26" i="9"/>
  <c r="I26" i="9"/>
  <c r="J26" i="9"/>
  <c r="K26" i="9"/>
  <c r="L26" i="9"/>
  <c r="M26" i="9"/>
  <c r="B26" i="9"/>
  <c r="C29" i="9"/>
  <c r="M38" i="9"/>
  <c r="L38" i="9"/>
  <c r="K38" i="9"/>
  <c r="J38" i="9"/>
  <c r="I38" i="9"/>
  <c r="H38" i="9"/>
  <c r="G38" i="9"/>
  <c r="F38" i="9"/>
  <c r="E38" i="9"/>
  <c r="D38" i="9"/>
  <c r="C38" i="9"/>
  <c r="B38" i="9"/>
  <c r="B35" i="9"/>
  <c r="C17" i="9"/>
  <c r="B24" i="9"/>
  <c r="B23" i="9"/>
  <c r="C13" i="9"/>
  <c r="D13" i="9"/>
  <c r="E13" i="9"/>
  <c r="F13" i="9"/>
  <c r="G13" i="9"/>
  <c r="H13" i="9"/>
  <c r="I13" i="9"/>
  <c r="J13" i="9"/>
  <c r="K13" i="9"/>
  <c r="L13" i="9"/>
  <c r="M13" i="9"/>
  <c r="B13" i="9"/>
  <c r="B10" i="9"/>
  <c r="B64" i="10" l="1"/>
  <c r="C60" i="10" s="1"/>
  <c r="C62" i="10" s="1"/>
  <c r="C63" i="10" s="1"/>
  <c r="B77" i="10"/>
  <c r="C73" i="10" s="1"/>
  <c r="C75" i="10" s="1"/>
  <c r="B51" i="10"/>
  <c r="C47" i="10" s="1"/>
  <c r="C49" i="10" s="1"/>
  <c r="B26" i="10"/>
  <c r="C22" i="10" s="1"/>
  <c r="C24" i="10" s="1"/>
  <c r="C25" i="10" s="1"/>
  <c r="C26" i="10" s="1"/>
  <c r="D22" i="10" s="1"/>
  <c r="D24" i="10" s="1"/>
  <c r="B25" i="9"/>
  <c r="C21" i="9" s="1"/>
  <c r="C23" i="9" s="1"/>
  <c r="B11" i="9"/>
  <c r="B11" i="10"/>
  <c r="B13" i="10" s="1"/>
  <c r="C9" i="10" s="1"/>
  <c r="C11" i="10" s="1"/>
  <c r="C12" i="10" s="1"/>
  <c r="C13" i="10" s="1"/>
  <c r="D9" i="10" s="1"/>
  <c r="D11" i="10" s="1"/>
  <c r="C50" i="10"/>
  <c r="C51" i="10" s="1"/>
  <c r="D47" i="10" s="1"/>
  <c r="D49" i="10" s="1"/>
  <c r="C37" i="10"/>
  <c r="C38" i="10" s="1"/>
  <c r="D34" i="10" s="1"/>
  <c r="D36" i="10" s="1"/>
  <c r="C76" i="10"/>
  <c r="C77" i="10" s="1"/>
  <c r="D73" i="10" s="1"/>
  <c r="D75" i="10" s="1"/>
  <c r="B37" i="9"/>
  <c r="C33" i="9" s="1"/>
  <c r="C35" i="9" s="1"/>
  <c r="C36" i="9" s="1"/>
  <c r="C37" i="9" s="1"/>
  <c r="D33" i="9" s="1"/>
  <c r="D35" i="9" s="1"/>
  <c r="D36" i="9" s="1"/>
  <c r="B76" i="9"/>
  <c r="C72" i="9" s="1"/>
  <c r="C74" i="9" s="1"/>
  <c r="B63" i="9"/>
  <c r="C59" i="9" s="1"/>
  <c r="C61" i="9" s="1"/>
  <c r="C62" i="9" s="1"/>
  <c r="C63" i="9" s="1"/>
  <c r="D59" i="9" s="1"/>
  <c r="D61" i="9" s="1"/>
  <c r="D62" i="9" s="1"/>
  <c r="B50" i="9"/>
  <c r="C46" i="9" s="1"/>
  <c r="C48" i="9" s="1"/>
  <c r="C49" i="9" s="1"/>
  <c r="B12" i="9"/>
  <c r="C8" i="9" s="1"/>
  <c r="C10" i="9" s="1"/>
  <c r="L54" i="8"/>
  <c r="L53" i="8"/>
  <c r="G53" i="8"/>
  <c r="G54" i="8" s="1"/>
  <c r="L52" i="8"/>
  <c r="G52" i="8"/>
  <c r="C52" i="8"/>
  <c r="C53" i="8" s="1"/>
  <c r="L47" i="8"/>
  <c r="L48" i="8" s="1"/>
  <c r="L46" i="8"/>
  <c r="G46" i="8"/>
  <c r="C45" i="8"/>
  <c r="C46" i="8" s="1"/>
  <c r="C47" i="8" s="1"/>
  <c r="C48" i="8" s="1"/>
  <c r="L32" i="8"/>
  <c r="L33" i="8" s="1"/>
  <c r="C31" i="8"/>
  <c r="C32" i="8" s="1"/>
  <c r="L18" i="8"/>
  <c r="L19" i="8" s="1"/>
  <c r="C17" i="8"/>
  <c r="C18" i="8" s="1"/>
  <c r="L6" i="8"/>
  <c r="L7" i="8" s="1"/>
  <c r="L8" i="8" s="1"/>
  <c r="L5" i="8"/>
  <c r="C5" i="8"/>
  <c r="L4" i="8"/>
  <c r="C4" i="8"/>
  <c r="C64" i="10" l="1"/>
  <c r="D60" i="10" s="1"/>
  <c r="D62" i="10" s="1"/>
  <c r="D63" i="10" s="1"/>
  <c r="D64" i="10" s="1"/>
  <c r="E60" i="10" s="1"/>
  <c r="E62" i="10" s="1"/>
  <c r="C24" i="9"/>
  <c r="C25" i="9"/>
  <c r="D21" i="9" s="1"/>
  <c r="D23" i="9" s="1"/>
  <c r="D24" i="9" s="1"/>
  <c r="D25" i="10"/>
  <c r="D26" i="10" s="1"/>
  <c r="E22" i="10" s="1"/>
  <c r="E24" i="10" s="1"/>
  <c r="D12" i="10"/>
  <c r="C5" i="10" s="1"/>
  <c r="D50" i="10"/>
  <c r="D51" i="10" s="1"/>
  <c r="E47" i="10" s="1"/>
  <c r="E49" i="10" s="1"/>
  <c r="D37" i="10"/>
  <c r="D38" i="10" s="1"/>
  <c r="E34" i="10" s="1"/>
  <c r="E36" i="10" s="1"/>
  <c r="D76" i="10"/>
  <c r="D77" i="10" s="1"/>
  <c r="E73" i="10" s="1"/>
  <c r="E75" i="10" s="1"/>
  <c r="C50" i="9"/>
  <c r="D46" i="9" s="1"/>
  <c r="D48" i="9" s="1"/>
  <c r="D49" i="9" s="1"/>
  <c r="C76" i="9"/>
  <c r="D72" i="9" s="1"/>
  <c r="D74" i="9" s="1"/>
  <c r="D75" i="9" s="1"/>
  <c r="C75" i="9"/>
  <c r="D63" i="9"/>
  <c r="E59" i="9" s="1"/>
  <c r="E61" i="9" s="1"/>
  <c r="E62" i="9" s="1"/>
  <c r="D37" i="9"/>
  <c r="E33" i="9" s="1"/>
  <c r="E35" i="9" s="1"/>
  <c r="E36" i="9" s="1"/>
  <c r="C11" i="9"/>
  <c r="C12" i="9" s="1"/>
  <c r="D8" i="9" s="1"/>
  <c r="D10" i="9" s="1"/>
  <c r="C8" i="8"/>
  <c r="L9" i="8"/>
  <c r="L10" i="8"/>
  <c r="C6" i="8"/>
  <c r="C7" i="8" s="1"/>
  <c r="C19" i="8"/>
  <c r="C20" i="8" s="1"/>
  <c r="C21" i="8" s="1"/>
  <c r="L20" i="8"/>
  <c r="L21" i="8" s="1"/>
  <c r="L22" i="8" s="1"/>
  <c r="C33" i="8"/>
  <c r="C34" i="8" s="1"/>
  <c r="C35" i="8" s="1"/>
  <c r="L34" i="8"/>
  <c r="L35" i="8" s="1"/>
  <c r="L36" i="8" s="1"/>
  <c r="E92" i="5"/>
  <c r="F92" i="5" s="1"/>
  <c r="G92" i="5" s="1"/>
  <c r="F91" i="5"/>
  <c r="G91" i="5" s="1"/>
  <c r="E91" i="5"/>
  <c r="F90" i="5"/>
  <c r="G90" i="5" s="1"/>
  <c r="E90" i="5"/>
  <c r="E77" i="5"/>
  <c r="F77" i="5" s="1"/>
  <c r="G77" i="5" s="1"/>
  <c r="E76" i="5"/>
  <c r="F76" i="5" s="1"/>
  <c r="G76" i="5" s="1"/>
  <c r="E75" i="5"/>
  <c r="F75" i="5" s="1"/>
  <c r="G75" i="5" s="1"/>
  <c r="E62" i="5"/>
  <c r="F62" i="5" s="1"/>
  <c r="G62" i="5" s="1"/>
  <c r="E61" i="5"/>
  <c r="F61" i="5" s="1"/>
  <c r="G61" i="5" s="1"/>
  <c r="E60" i="5"/>
  <c r="F60" i="5" s="1"/>
  <c r="G60" i="5" s="1"/>
  <c r="E47" i="5"/>
  <c r="F47" i="5" s="1"/>
  <c r="G47" i="5" s="1"/>
  <c r="E46" i="5"/>
  <c r="F46" i="5" s="1"/>
  <c r="G46" i="5" s="1"/>
  <c r="E45" i="5"/>
  <c r="F45" i="5" s="1"/>
  <c r="G45" i="5" s="1"/>
  <c r="E32" i="5"/>
  <c r="F32" i="5" s="1"/>
  <c r="G32" i="5" s="1"/>
  <c r="E31" i="5"/>
  <c r="F31" i="5" s="1"/>
  <c r="G31" i="5" s="1"/>
  <c r="E30" i="5"/>
  <c r="F30" i="5" s="1"/>
  <c r="G30" i="5" s="1"/>
  <c r="E17" i="5"/>
  <c r="F17" i="5" s="1"/>
  <c r="G17" i="5" s="1"/>
  <c r="E16" i="5"/>
  <c r="E15" i="5"/>
  <c r="F15" i="5" s="1"/>
  <c r="G15" i="5" s="1"/>
  <c r="F16" i="5"/>
  <c r="G16" i="5" s="1"/>
  <c r="E6" i="5"/>
  <c r="F6" i="5" s="1"/>
  <c r="G6" i="5" s="1"/>
  <c r="E89" i="5"/>
  <c r="F89" i="5" s="1"/>
  <c r="G89" i="5" s="1"/>
  <c r="E88" i="5"/>
  <c r="F88" i="5" s="1"/>
  <c r="G88" i="5" s="1"/>
  <c r="E87" i="5"/>
  <c r="F87" i="5" s="1"/>
  <c r="G87" i="5" s="1"/>
  <c r="E86" i="5"/>
  <c r="F86" i="5" s="1"/>
  <c r="G86" i="5" s="1"/>
  <c r="E85" i="5"/>
  <c r="F85" i="5" s="1"/>
  <c r="G85" i="5" s="1"/>
  <c r="E84" i="5"/>
  <c r="F84" i="5" s="1"/>
  <c r="G84" i="5" s="1"/>
  <c r="E83" i="5"/>
  <c r="F83" i="5" s="1"/>
  <c r="G83" i="5" s="1"/>
  <c r="E82" i="5"/>
  <c r="F82" i="5" s="1"/>
  <c r="G82" i="5" s="1"/>
  <c r="E81" i="5"/>
  <c r="F81" i="5" s="1"/>
  <c r="G81" i="5" s="1"/>
  <c r="E74" i="5"/>
  <c r="F74" i="5" s="1"/>
  <c r="G74" i="5" s="1"/>
  <c r="E73" i="5"/>
  <c r="F73" i="5" s="1"/>
  <c r="G73" i="5" s="1"/>
  <c r="E72" i="5"/>
  <c r="F72" i="5" s="1"/>
  <c r="G72" i="5" s="1"/>
  <c r="E71" i="5"/>
  <c r="F71" i="5" s="1"/>
  <c r="G71" i="5" s="1"/>
  <c r="E70" i="5"/>
  <c r="F70" i="5" s="1"/>
  <c r="G70" i="5" s="1"/>
  <c r="E69" i="5"/>
  <c r="F69" i="5" s="1"/>
  <c r="G69" i="5" s="1"/>
  <c r="E59" i="5"/>
  <c r="F59" i="5" s="1"/>
  <c r="G59" i="5" s="1"/>
  <c r="E58" i="5"/>
  <c r="F58" i="5" s="1"/>
  <c r="G58" i="5" s="1"/>
  <c r="E57" i="5"/>
  <c r="F57" i="5" s="1"/>
  <c r="G57" i="5" s="1"/>
  <c r="E56" i="5"/>
  <c r="F56" i="5" s="1"/>
  <c r="G56" i="5" s="1"/>
  <c r="E55" i="5"/>
  <c r="F55" i="5" s="1"/>
  <c r="G55" i="5" s="1"/>
  <c r="E54" i="5"/>
  <c r="F54" i="5" s="1"/>
  <c r="G54" i="5" s="1"/>
  <c r="E53" i="5"/>
  <c r="F53" i="5" s="1"/>
  <c r="G53" i="5" s="1"/>
  <c r="E52" i="5"/>
  <c r="F52" i="5" s="1"/>
  <c r="G52" i="5" s="1"/>
  <c r="E51" i="5"/>
  <c r="F51" i="5" s="1"/>
  <c r="G51" i="5" s="1"/>
  <c r="E44" i="5"/>
  <c r="F44" i="5" s="1"/>
  <c r="G44" i="5" s="1"/>
  <c r="E43" i="5"/>
  <c r="F43" i="5" s="1"/>
  <c r="G43" i="5" s="1"/>
  <c r="E42" i="5"/>
  <c r="F42" i="5" s="1"/>
  <c r="G42" i="5" s="1"/>
  <c r="E41" i="5"/>
  <c r="F41" i="5" s="1"/>
  <c r="G41" i="5" s="1"/>
  <c r="E40" i="5"/>
  <c r="F40" i="5" s="1"/>
  <c r="G40" i="5" s="1"/>
  <c r="E39" i="5"/>
  <c r="F39" i="5" s="1"/>
  <c r="G39" i="5" s="1"/>
  <c r="E38" i="5"/>
  <c r="F38" i="5" s="1"/>
  <c r="G38" i="5" s="1"/>
  <c r="E37" i="5"/>
  <c r="F37" i="5" s="1"/>
  <c r="G37" i="5" s="1"/>
  <c r="E36" i="5"/>
  <c r="F36" i="5" s="1"/>
  <c r="G36" i="5" s="1"/>
  <c r="E29" i="5"/>
  <c r="F29" i="5" s="1"/>
  <c r="G29" i="5" s="1"/>
  <c r="F28" i="5"/>
  <c r="G28" i="5" s="1"/>
  <c r="E28" i="5"/>
  <c r="E27" i="5"/>
  <c r="F27" i="5" s="1"/>
  <c r="G27" i="5" s="1"/>
  <c r="E26" i="5"/>
  <c r="F26" i="5" s="1"/>
  <c r="G26" i="5" s="1"/>
  <c r="E25" i="5"/>
  <c r="F25" i="5" s="1"/>
  <c r="G25" i="5" s="1"/>
  <c r="E24" i="5"/>
  <c r="F24" i="5" s="1"/>
  <c r="G24" i="5" s="1"/>
  <c r="E23" i="5"/>
  <c r="F23" i="5" s="1"/>
  <c r="G23" i="5" s="1"/>
  <c r="E22" i="5"/>
  <c r="F22" i="5" s="1"/>
  <c r="G22" i="5" s="1"/>
  <c r="E21" i="5"/>
  <c r="F21" i="5" s="1"/>
  <c r="G21" i="5" s="1"/>
  <c r="E14" i="5"/>
  <c r="E13" i="5"/>
  <c r="E12" i="5"/>
  <c r="E11" i="5"/>
  <c r="E10" i="5"/>
  <c r="E9" i="5"/>
  <c r="E8" i="5"/>
  <c r="E7" i="5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C65" i="5"/>
  <c r="E68" i="5" s="1"/>
  <c r="F68" i="5" s="1"/>
  <c r="G68" i="5" s="1"/>
  <c r="C64" i="5"/>
  <c r="C63" i="5"/>
  <c r="E66" i="5" s="1"/>
  <c r="F66" i="5" s="1"/>
  <c r="G66" i="5" s="1"/>
  <c r="B79" i="5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49" i="5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34" i="5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20" i="5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19" i="5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L2" i="6"/>
  <c r="J2" i="6"/>
  <c r="H2" i="6"/>
  <c r="B2" i="6"/>
  <c r="F2" i="6"/>
  <c r="D2" i="6"/>
  <c r="E25" i="10" l="1"/>
  <c r="E26" i="10"/>
  <c r="F22" i="10" s="1"/>
  <c r="F24" i="10" s="1"/>
  <c r="D13" i="10"/>
  <c r="E9" i="10" s="1"/>
  <c r="E11" i="10" s="1"/>
  <c r="E76" i="10"/>
  <c r="E77" i="10" s="1"/>
  <c r="F73" i="10" s="1"/>
  <c r="F75" i="10" s="1"/>
  <c r="E37" i="10"/>
  <c r="E38" i="10" s="1"/>
  <c r="F34" i="10" s="1"/>
  <c r="F36" i="10" s="1"/>
  <c r="E63" i="10"/>
  <c r="E64" i="10" s="1"/>
  <c r="F60" i="10" s="1"/>
  <c r="F62" i="10" s="1"/>
  <c r="E50" i="10"/>
  <c r="E51" i="10" s="1"/>
  <c r="F47" i="10" s="1"/>
  <c r="F49" i="10" s="1"/>
  <c r="D50" i="9"/>
  <c r="E46" i="9" s="1"/>
  <c r="E48" i="9" s="1"/>
  <c r="E49" i="9" s="1"/>
  <c r="D76" i="9"/>
  <c r="E72" i="9" s="1"/>
  <c r="E74" i="9" s="1"/>
  <c r="E75" i="9" s="1"/>
  <c r="E63" i="9"/>
  <c r="F59" i="9" s="1"/>
  <c r="F61" i="9" s="1"/>
  <c r="F62" i="9" s="1"/>
  <c r="E50" i="9"/>
  <c r="F46" i="9" s="1"/>
  <c r="F48" i="9" s="1"/>
  <c r="F49" i="9" s="1"/>
  <c r="E37" i="9"/>
  <c r="F33" i="9" s="1"/>
  <c r="F35" i="9" s="1"/>
  <c r="F36" i="9" s="1"/>
  <c r="D25" i="9"/>
  <c r="E21" i="9" s="1"/>
  <c r="E23" i="9" s="1"/>
  <c r="E24" i="9" s="1"/>
  <c r="D11" i="9"/>
  <c r="C4" i="9" s="1"/>
  <c r="C23" i="8"/>
  <c r="C22" i="8"/>
  <c r="L37" i="8"/>
  <c r="L38" i="8" s="1"/>
  <c r="C37" i="8"/>
  <c r="C36" i="8"/>
  <c r="L23" i="8"/>
  <c r="L24" i="8" s="1"/>
  <c r="C9" i="8"/>
  <c r="C10" i="8" s="1"/>
  <c r="L11" i="8"/>
  <c r="M5" i="8" s="1"/>
  <c r="L13" i="8"/>
  <c r="N5" i="8"/>
  <c r="O5" i="8" s="1"/>
  <c r="P5" i="8" s="1"/>
  <c r="Q5" i="8" s="1"/>
  <c r="E67" i="5"/>
  <c r="F67" i="5" s="1"/>
  <c r="G67" i="5" s="1"/>
  <c r="K90" i="3"/>
  <c r="M80" i="3"/>
  <c r="M84" i="3" s="1"/>
  <c r="L80" i="3"/>
  <c r="J80" i="3"/>
  <c r="M79" i="3"/>
  <c r="L79" i="3"/>
  <c r="J79" i="3"/>
  <c r="J77" i="3"/>
  <c r="I77" i="3"/>
  <c r="N88" i="3"/>
  <c r="N89" i="3" s="1"/>
  <c r="N90" i="3" s="1"/>
  <c r="N91" i="3" s="1"/>
  <c r="M88" i="3"/>
  <c r="M89" i="3" s="1"/>
  <c r="M90" i="3" s="1"/>
  <c r="L88" i="3"/>
  <c r="J84" i="3"/>
  <c r="O79" i="3"/>
  <c r="M83" i="3" s="1"/>
  <c r="E80" i="3"/>
  <c r="E84" i="3" s="1"/>
  <c r="D80" i="3"/>
  <c r="D84" i="3" s="1"/>
  <c r="B80" i="3"/>
  <c r="E79" i="3"/>
  <c r="D79" i="3"/>
  <c r="B79" i="3"/>
  <c r="B77" i="3"/>
  <c r="A77" i="3"/>
  <c r="F88" i="3"/>
  <c r="F89" i="3" s="1"/>
  <c r="F90" i="3" s="1"/>
  <c r="F91" i="3" s="1"/>
  <c r="E88" i="3"/>
  <c r="E89" i="3" s="1"/>
  <c r="E90" i="3" s="1"/>
  <c r="D88" i="3"/>
  <c r="B84" i="3"/>
  <c r="G79" i="3"/>
  <c r="E83" i="3" s="1"/>
  <c r="M60" i="3"/>
  <c r="M64" i="3" s="1"/>
  <c r="L60" i="3"/>
  <c r="J60" i="3"/>
  <c r="M59" i="3"/>
  <c r="L59" i="3"/>
  <c r="J59" i="3"/>
  <c r="J57" i="3"/>
  <c r="I57" i="3"/>
  <c r="N68" i="3"/>
  <c r="N69" i="3" s="1"/>
  <c r="N70" i="3" s="1"/>
  <c r="N71" i="3" s="1"/>
  <c r="M68" i="3"/>
  <c r="M69" i="3" s="1"/>
  <c r="M70" i="3" s="1"/>
  <c r="L68" i="3"/>
  <c r="J64" i="3"/>
  <c r="O59" i="3"/>
  <c r="M63" i="3" s="1"/>
  <c r="E60" i="3"/>
  <c r="D60" i="3"/>
  <c r="B60" i="3"/>
  <c r="E59" i="3"/>
  <c r="D59" i="3"/>
  <c r="B59" i="3"/>
  <c r="B57" i="3"/>
  <c r="A57" i="3"/>
  <c r="F68" i="3"/>
  <c r="F69" i="3" s="1"/>
  <c r="F70" i="3" s="1"/>
  <c r="F71" i="3" s="1"/>
  <c r="D68" i="3"/>
  <c r="D64" i="3"/>
  <c r="B64" i="3"/>
  <c r="E64" i="3"/>
  <c r="B68" i="3"/>
  <c r="B69" i="3" s="1"/>
  <c r="K50" i="3"/>
  <c r="K49" i="3"/>
  <c r="K45" i="3"/>
  <c r="J45" i="3"/>
  <c r="M43" i="3"/>
  <c r="L43" i="3"/>
  <c r="J43" i="3"/>
  <c r="M40" i="3"/>
  <c r="L40" i="3"/>
  <c r="J40" i="3"/>
  <c r="L39" i="3"/>
  <c r="J39" i="3"/>
  <c r="J37" i="3"/>
  <c r="I37" i="3"/>
  <c r="N48" i="3"/>
  <c r="N49" i="3" s="1"/>
  <c r="N50" i="3" s="1"/>
  <c r="N51" i="3" s="1"/>
  <c r="M44" i="3"/>
  <c r="L44" i="3"/>
  <c r="J48" i="3"/>
  <c r="J49" i="3" s="1"/>
  <c r="M39" i="3"/>
  <c r="E54" i="3"/>
  <c r="C54" i="3"/>
  <c r="D55" i="3" s="1"/>
  <c r="E53" i="3"/>
  <c r="C53" i="3"/>
  <c r="F51" i="3"/>
  <c r="D51" i="3"/>
  <c r="F50" i="3"/>
  <c r="F49" i="3"/>
  <c r="E50" i="3"/>
  <c r="C50" i="3"/>
  <c r="E49" i="3"/>
  <c r="C49" i="3"/>
  <c r="B49" i="3"/>
  <c r="B48" i="3"/>
  <c r="F48" i="3"/>
  <c r="E48" i="3"/>
  <c r="D48" i="3"/>
  <c r="C48" i="3"/>
  <c r="C46" i="3"/>
  <c r="C45" i="3"/>
  <c r="B45" i="3"/>
  <c r="E44" i="3"/>
  <c r="D44" i="3"/>
  <c r="B44" i="3"/>
  <c r="E43" i="3"/>
  <c r="D43" i="3"/>
  <c r="B43" i="3"/>
  <c r="G39" i="3"/>
  <c r="E40" i="3"/>
  <c r="D40" i="3"/>
  <c r="B40" i="3"/>
  <c r="E39" i="3"/>
  <c r="D39" i="3"/>
  <c r="B39" i="3"/>
  <c r="B37" i="3"/>
  <c r="A37" i="3"/>
  <c r="K31" i="3"/>
  <c r="K30" i="3"/>
  <c r="K29" i="3"/>
  <c r="K28" i="3"/>
  <c r="K27" i="3"/>
  <c r="K26" i="3"/>
  <c r="K25" i="3"/>
  <c r="K24" i="3"/>
  <c r="K23" i="3"/>
  <c r="K22" i="3"/>
  <c r="K21" i="3"/>
  <c r="K20" i="3"/>
  <c r="M20" i="3" s="1"/>
  <c r="L18" i="3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J33" i="3"/>
  <c r="L31" i="3"/>
  <c r="L30" i="3"/>
  <c r="L29" i="3"/>
  <c r="L28" i="3"/>
  <c r="L27" i="3"/>
  <c r="L26" i="3"/>
  <c r="L25" i="3"/>
  <c r="L24" i="3"/>
  <c r="L23" i="3"/>
  <c r="L22" i="3"/>
  <c r="L21" i="3"/>
  <c r="L20" i="3"/>
  <c r="L33" i="3" s="1"/>
  <c r="G20" i="3"/>
  <c r="I20" i="3" s="1"/>
  <c r="H18" i="3"/>
  <c r="F33" i="3"/>
  <c r="H31" i="3"/>
  <c r="H30" i="3"/>
  <c r="H29" i="3"/>
  <c r="H28" i="3"/>
  <c r="H27" i="3"/>
  <c r="H26" i="3"/>
  <c r="H25" i="3"/>
  <c r="H24" i="3"/>
  <c r="H23" i="3"/>
  <c r="H22" i="3"/>
  <c r="H21" i="3"/>
  <c r="H20" i="3"/>
  <c r="H33" i="3" s="1"/>
  <c r="C20" i="3"/>
  <c r="E20" i="3" s="1"/>
  <c r="D18" i="3"/>
  <c r="B33" i="3"/>
  <c r="D31" i="3"/>
  <c r="D30" i="3"/>
  <c r="D29" i="3"/>
  <c r="D28" i="3"/>
  <c r="D27" i="3"/>
  <c r="D26" i="3"/>
  <c r="D25" i="3"/>
  <c r="D24" i="3"/>
  <c r="D23" i="3"/>
  <c r="D22" i="3"/>
  <c r="D21" i="3"/>
  <c r="D20" i="3"/>
  <c r="K3" i="3"/>
  <c r="M3" i="3" s="1"/>
  <c r="L1" i="3"/>
  <c r="J16" i="3"/>
  <c r="L14" i="3"/>
  <c r="L13" i="3"/>
  <c r="L12" i="3"/>
  <c r="L11" i="3"/>
  <c r="L10" i="3"/>
  <c r="L9" i="3"/>
  <c r="L8" i="3"/>
  <c r="L7" i="3"/>
  <c r="L6" i="3"/>
  <c r="L16" i="3" s="1"/>
  <c r="L5" i="3"/>
  <c r="L4" i="3"/>
  <c r="L3" i="3"/>
  <c r="G3" i="3"/>
  <c r="I3" i="3" s="1"/>
  <c r="H1" i="3"/>
  <c r="F16" i="3"/>
  <c r="H14" i="3"/>
  <c r="H13" i="3"/>
  <c r="H12" i="3"/>
  <c r="H11" i="3"/>
  <c r="H10" i="3"/>
  <c r="H9" i="3"/>
  <c r="H8" i="3"/>
  <c r="H7" i="3"/>
  <c r="H6" i="3"/>
  <c r="H5" i="3"/>
  <c r="H4" i="3"/>
  <c r="H3" i="3"/>
  <c r="B16" i="3"/>
  <c r="D14" i="3"/>
  <c r="D13" i="3"/>
  <c r="D12" i="3"/>
  <c r="D11" i="3"/>
  <c r="D10" i="3"/>
  <c r="D9" i="3"/>
  <c r="D8" i="3"/>
  <c r="D7" i="3"/>
  <c r="D6" i="3"/>
  <c r="D5" i="3"/>
  <c r="D4" i="3"/>
  <c r="D3" i="3"/>
  <c r="D16" i="3" s="1"/>
  <c r="C3" i="3"/>
  <c r="E3" i="3" s="1"/>
  <c r="E54" i="2"/>
  <c r="E53" i="2"/>
  <c r="F25" i="10" l="1"/>
  <c r="F26" i="10"/>
  <c r="G22" i="10" s="1"/>
  <c r="G24" i="10" s="1"/>
  <c r="F50" i="10"/>
  <c r="F51" i="10" s="1"/>
  <c r="G47" i="10" s="1"/>
  <c r="G49" i="10" s="1"/>
  <c r="F63" i="10"/>
  <c r="F64" i="10" s="1"/>
  <c r="G60" i="10" s="1"/>
  <c r="G62" i="10" s="1"/>
  <c r="F37" i="10"/>
  <c r="F38" i="10" s="1"/>
  <c r="G34" i="10" s="1"/>
  <c r="G36" i="10" s="1"/>
  <c r="F76" i="10"/>
  <c r="F77" i="10" s="1"/>
  <c r="G73" i="10" s="1"/>
  <c r="G75" i="10" s="1"/>
  <c r="E76" i="9"/>
  <c r="F72" i="9" s="1"/>
  <c r="F74" i="9" s="1"/>
  <c r="F75" i="9" s="1"/>
  <c r="D12" i="9"/>
  <c r="E8" i="9" s="1"/>
  <c r="E10" i="9" s="1"/>
  <c r="E11" i="9" s="1"/>
  <c r="F63" i="9"/>
  <c r="G59" i="9" s="1"/>
  <c r="G61" i="9" s="1"/>
  <c r="G62" i="9" s="1"/>
  <c r="F50" i="9"/>
  <c r="G46" i="9" s="1"/>
  <c r="G48" i="9" s="1"/>
  <c r="G49" i="9" s="1"/>
  <c r="F37" i="9"/>
  <c r="G33" i="9" s="1"/>
  <c r="G35" i="9" s="1"/>
  <c r="G36" i="9" s="1"/>
  <c r="E25" i="9"/>
  <c r="F21" i="9" s="1"/>
  <c r="F23" i="9" s="1"/>
  <c r="F24" i="9" s="1"/>
  <c r="C11" i="8"/>
  <c r="D5" i="8" s="1"/>
  <c r="E5" i="8"/>
  <c r="C13" i="8"/>
  <c r="L39" i="8"/>
  <c r="M33" i="8" s="1"/>
  <c r="L41" i="8"/>
  <c r="N33" i="8"/>
  <c r="L25" i="8"/>
  <c r="M19" i="8" s="1"/>
  <c r="L27" i="8"/>
  <c r="N19" i="8"/>
  <c r="O19" i="8" s="1"/>
  <c r="Q19" i="8" s="1"/>
  <c r="C38" i="8"/>
  <c r="D32" i="8" s="1"/>
  <c r="E32" i="8"/>
  <c r="F32" i="8" s="1"/>
  <c r="G32" i="8" s="1"/>
  <c r="H32" i="8" s="1"/>
  <c r="C40" i="8"/>
  <c r="C24" i="8"/>
  <c r="D18" i="8" s="1"/>
  <c r="E18" i="8"/>
  <c r="C26" i="8"/>
  <c r="L83" i="3"/>
  <c r="J83" i="3"/>
  <c r="J85" i="3" s="1"/>
  <c r="L84" i="3"/>
  <c r="J88" i="3"/>
  <c r="J89" i="3" s="1"/>
  <c r="B83" i="3"/>
  <c r="B85" i="3" s="1"/>
  <c r="D83" i="3"/>
  <c r="C85" i="3" s="1"/>
  <c r="B88" i="3"/>
  <c r="B89" i="3" s="1"/>
  <c r="L63" i="3"/>
  <c r="K65" i="3" s="1"/>
  <c r="J63" i="3"/>
  <c r="J65" i="3" s="1"/>
  <c r="L64" i="3"/>
  <c r="J68" i="3"/>
  <c r="J69" i="3" s="1"/>
  <c r="G59" i="3"/>
  <c r="E68" i="3"/>
  <c r="E69" i="3" s="1"/>
  <c r="E70" i="3" s="1"/>
  <c r="J44" i="3"/>
  <c r="L48" i="3"/>
  <c r="O39" i="3"/>
  <c r="M48" i="3"/>
  <c r="M49" i="3" s="1"/>
  <c r="M50" i="3" s="1"/>
  <c r="D33" i="3"/>
  <c r="H16" i="3"/>
  <c r="G6" i="2"/>
  <c r="G7" i="2"/>
  <c r="G8" i="2"/>
  <c r="G9" i="2"/>
  <c r="G10" i="2"/>
  <c r="J10" i="2" s="1"/>
  <c r="N10" i="2" s="1"/>
  <c r="G11" i="2"/>
  <c r="J11" i="2" s="1"/>
  <c r="N11" i="2" s="1"/>
  <c r="G12" i="2"/>
  <c r="J12" i="2" s="1"/>
  <c r="N12" i="2" s="1"/>
  <c r="G13" i="2"/>
  <c r="J13" i="2" s="1"/>
  <c r="N13" i="2" s="1"/>
  <c r="G14" i="2"/>
  <c r="J14" i="2" s="1"/>
  <c r="N14" i="2" s="1"/>
  <c r="G15" i="2"/>
  <c r="J15" i="2" s="1"/>
  <c r="N15" i="2" s="1"/>
  <c r="G16" i="2"/>
  <c r="J16" i="2" s="1"/>
  <c r="N16" i="2" s="1"/>
  <c r="G17" i="2"/>
  <c r="J17" i="2" s="1"/>
  <c r="N17" i="2" s="1"/>
  <c r="G18" i="2"/>
  <c r="J18" i="2" s="1"/>
  <c r="N18" i="2" s="1"/>
  <c r="G19" i="2"/>
  <c r="J19" i="2" s="1"/>
  <c r="N19" i="2" s="1"/>
  <c r="G20" i="2"/>
  <c r="J20" i="2" s="1"/>
  <c r="N20" i="2" s="1"/>
  <c r="G21" i="2"/>
  <c r="J21" i="2" s="1"/>
  <c r="N21" i="2" s="1"/>
  <c r="G22" i="2"/>
  <c r="J22" i="2" s="1"/>
  <c r="N22" i="2" s="1"/>
  <c r="G23" i="2"/>
  <c r="G24" i="2"/>
  <c r="J24" i="2" s="1"/>
  <c r="N24" i="2" s="1"/>
  <c r="G25" i="2"/>
  <c r="J25" i="2" s="1"/>
  <c r="N25" i="2" s="1"/>
  <c r="G26" i="2"/>
  <c r="J26" i="2" s="1"/>
  <c r="N26" i="2" s="1"/>
  <c r="G27" i="2"/>
  <c r="J27" i="2" s="1"/>
  <c r="N27" i="2" s="1"/>
  <c r="G28" i="2"/>
  <c r="J28" i="2" s="1"/>
  <c r="N28" i="2" s="1"/>
  <c r="G29" i="2"/>
  <c r="J29" i="2" s="1"/>
  <c r="N29" i="2" s="1"/>
  <c r="G30" i="2"/>
  <c r="J30" i="2" s="1"/>
  <c r="N30" i="2" s="1"/>
  <c r="G31" i="2"/>
  <c r="J31" i="2" s="1"/>
  <c r="N31" i="2" s="1"/>
  <c r="G32" i="2"/>
  <c r="J32" i="2" s="1"/>
  <c r="N32" i="2" s="1"/>
  <c r="G33" i="2"/>
  <c r="J33" i="2" s="1"/>
  <c r="N33" i="2" s="1"/>
  <c r="G34" i="2"/>
  <c r="J34" i="2" s="1"/>
  <c r="N34" i="2" s="1"/>
  <c r="G35" i="2"/>
  <c r="J35" i="2" s="1"/>
  <c r="N35" i="2" s="1"/>
  <c r="G36" i="2"/>
  <c r="J36" i="2" s="1"/>
  <c r="N36" i="2" s="1"/>
  <c r="G37" i="2"/>
  <c r="J37" i="2" s="1"/>
  <c r="N37" i="2" s="1"/>
  <c r="G38" i="2"/>
  <c r="J38" i="2" s="1"/>
  <c r="N38" i="2" s="1"/>
  <c r="G39" i="2"/>
  <c r="J39" i="2" s="1"/>
  <c r="N39" i="2" s="1"/>
  <c r="G40" i="2"/>
  <c r="J40" i="2" s="1"/>
  <c r="N40" i="2" s="1"/>
  <c r="G41" i="2"/>
  <c r="J41" i="2" s="1"/>
  <c r="N41" i="2" s="1"/>
  <c r="G42" i="2"/>
  <c r="J42" i="2" s="1"/>
  <c r="N42" i="2" s="1"/>
  <c r="G43" i="2"/>
  <c r="J43" i="2" s="1"/>
  <c r="N43" i="2" s="1"/>
  <c r="G44" i="2"/>
  <c r="J44" i="2" s="1"/>
  <c r="N44" i="2" s="1"/>
  <c r="G45" i="2"/>
  <c r="J45" i="2" s="1"/>
  <c r="N45" i="2" s="1"/>
  <c r="G46" i="2"/>
  <c r="J46" i="2" s="1"/>
  <c r="N46" i="2" s="1"/>
  <c r="G47" i="2"/>
  <c r="J47" i="2" s="1"/>
  <c r="N47" i="2" s="1"/>
  <c r="G48" i="2"/>
  <c r="J48" i="2" s="1"/>
  <c r="N48" i="2" s="1"/>
  <c r="G49" i="2"/>
  <c r="J49" i="2" s="1"/>
  <c r="N49" i="2" s="1"/>
  <c r="G50" i="2"/>
  <c r="J50" i="2" s="1"/>
  <c r="N50" i="2" s="1"/>
  <c r="G51" i="2"/>
  <c r="J51" i="2" s="1"/>
  <c r="N51" i="2" s="1"/>
  <c r="G52" i="2"/>
  <c r="J52" i="2" s="1"/>
  <c r="N52" i="2" s="1"/>
  <c r="G5" i="2"/>
  <c r="F6" i="2"/>
  <c r="G4" i="3" s="1"/>
  <c r="I4" i="3" s="1"/>
  <c r="F7" i="2"/>
  <c r="K4" i="3" s="1"/>
  <c r="M4" i="3" s="1"/>
  <c r="F8" i="2"/>
  <c r="F9" i="2"/>
  <c r="G21" i="3" s="1"/>
  <c r="I21" i="3" s="1"/>
  <c r="F10" i="2"/>
  <c r="F11" i="2"/>
  <c r="H11" i="2" s="1"/>
  <c r="L11" i="2" s="1"/>
  <c r="F12" i="2"/>
  <c r="F13" i="2"/>
  <c r="H13" i="2" s="1"/>
  <c r="F14" i="2"/>
  <c r="F15" i="2"/>
  <c r="H15" i="2" s="1"/>
  <c r="L15" i="2" s="1"/>
  <c r="F16" i="2"/>
  <c r="I16" i="2" s="1"/>
  <c r="F17" i="2"/>
  <c r="F18" i="2"/>
  <c r="F19" i="2"/>
  <c r="H19" i="2" s="1"/>
  <c r="L19" i="2" s="1"/>
  <c r="F20" i="2"/>
  <c r="I20" i="2" s="1"/>
  <c r="F21" i="2"/>
  <c r="F22" i="2"/>
  <c r="F23" i="2"/>
  <c r="F24" i="2"/>
  <c r="F25" i="2"/>
  <c r="F26" i="2"/>
  <c r="F27" i="2"/>
  <c r="H27" i="2" s="1"/>
  <c r="L27" i="2" s="1"/>
  <c r="F28" i="2"/>
  <c r="F29" i="2"/>
  <c r="F30" i="2"/>
  <c r="H30" i="2" s="1"/>
  <c r="F31" i="2"/>
  <c r="H31" i="2" s="1"/>
  <c r="L31" i="2" s="1"/>
  <c r="F32" i="2"/>
  <c r="I32" i="2" s="1"/>
  <c r="F33" i="2"/>
  <c r="F34" i="2"/>
  <c r="F35" i="2"/>
  <c r="H35" i="2" s="1"/>
  <c r="L35" i="2" s="1"/>
  <c r="F36" i="2"/>
  <c r="I36" i="2" s="1"/>
  <c r="F37" i="2"/>
  <c r="F38" i="2"/>
  <c r="F39" i="2"/>
  <c r="H39" i="2" s="1"/>
  <c r="L39" i="2" s="1"/>
  <c r="F40" i="2"/>
  <c r="F41" i="2"/>
  <c r="F42" i="2"/>
  <c r="F43" i="2"/>
  <c r="H43" i="2" s="1"/>
  <c r="L43" i="2" s="1"/>
  <c r="F44" i="2"/>
  <c r="I44" i="2" s="1"/>
  <c r="F45" i="2"/>
  <c r="F46" i="2"/>
  <c r="F47" i="2"/>
  <c r="I47" i="2" s="1"/>
  <c r="M47" i="2" s="1"/>
  <c r="F48" i="2"/>
  <c r="H48" i="2" s="1"/>
  <c r="K48" i="2" s="1"/>
  <c r="P48" i="2" s="1"/>
  <c r="F49" i="2"/>
  <c r="F50" i="2"/>
  <c r="F51" i="2"/>
  <c r="H51" i="2" s="1"/>
  <c r="F52" i="2"/>
  <c r="I52" i="2" s="1"/>
  <c r="M52" i="2" s="1"/>
  <c r="F5" i="2"/>
  <c r="A6" i="2"/>
  <c r="G25" i="10" l="1"/>
  <c r="G26" i="10"/>
  <c r="H22" i="10" s="1"/>
  <c r="H24" i="10" s="1"/>
  <c r="E12" i="10"/>
  <c r="G76" i="10"/>
  <c r="G77" i="10" s="1"/>
  <c r="H73" i="10" s="1"/>
  <c r="H75" i="10" s="1"/>
  <c r="H76" i="10" s="1"/>
  <c r="G37" i="10"/>
  <c r="G38" i="10" s="1"/>
  <c r="H34" i="10" s="1"/>
  <c r="H36" i="10" s="1"/>
  <c r="G63" i="10"/>
  <c r="G64" i="10" s="1"/>
  <c r="H60" i="10" s="1"/>
  <c r="H62" i="10" s="1"/>
  <c r="G50" i="10"/>
  <c r="G51" i="10" s="1"/>
  <c r="H47" i="10" s="1"/>
  <c r="H49" i="10" s="1"/>
  <c r="H50" i="10" s="1"/>
  <c r="E12" i="9"/>
  <c r="F8" i="9" s="1"/>
  <c r="F10" i="9" s="1"/>
  <c r="F11" i="9" s="1"/>
  <c r="F12" i="9" s="1"/>
  <c r="G8" i="9" s="1"/>
  <c r="G10" i="9" s="1"/>
  <c r="G11" i="9" s="1"/>
  <c r="G12" i="9" s="1"/>
  <c r="H8" i="9" s="1"/>
  <c r="H10" i="9" s="1"/>
  <c r="H11" i="9" s="1"/>
  <c r="H12" i="9" s="1"/>
  <c r="I8" i="9" s="1"/>
  <c r="I10" i="9" s="1"/>
  <c r="I11" i="9" s="1"/>
  <c r="I12" i="9" s="1"/>
  <c r="J8" i="9" s="1"/>
  <c r="J10" i="9" s="1"/>
  <c r="J11" i="9" s="1"/>
  <c r="J12" i="9" s="1"/>
  <c r="K8" i="9" s="1"/>
  <c r="K10" i="9" s="1"/>
  <c r="K11" i="9" s="1"/>
  <c r="K12" i="9" s="1"/>
  <c r="L8" i="9" s="1"/>
  <c r="L10" i="9" s="1"/>
  <c r="L11" i="9" s="1"/>
  <c r="L12" i="9" s="1"/>
  <c r="M8" i="9" s="1"/>
  <c r="M10" i="9" s="1"/>
  <c r="F76" i="9"/>
  <c r="G72" i="9" s="1"/>
  <c r="G74" i="9" s="1"/>
  <c r="G75" i="9" s="1"/>
  <c r="G63" i="9"/>
  <c r="H59" i="9" s="1"/>
  <c r="H61" i="9" s="1"/>
  <c r="H62" i="9" s="1"/>
  <c r="G50" i="9"/>
  <c r="H46" i="9" s="1"/>
  <c r="H48" i="9" s="1"/>
  <c r="H49" i="9" s="1"/>
  <c r="G37" i="9"/>
  <c r="H33" i="9" s="1"/>
  <c r="H35" i="9" s="1"/>
  <c r="H36" i="9" s="1"/>
  <c r="F25" i="9"/>
  <c r="G21" i="9" s="1"/>
  <c r="G23" i="9" s="1"/>
  <c r="G24" i="9" s="1"/>
  <c r="F18" i="8"/>
  <c r="H18" i="8" s="1"/>
  <c r="O33" i="8"/>
  <c r="P33" i="8" s="1"/>
  <c r="Q33" i="8" s="1"/>
  <c r="F5" i="8"/>
  <c r="H5" i="8" s="1"/>
  <c r="K85" i="3"/>
  <c r="K86" i="3"/>
  <c r="K93" i="3" s="1"/>
  <c r="K94" i="3" s="1"/>
  <c r="C86" i="3"/>
  <c r="K66" i="3"/>
  <c r="K73" i="3" s="1"/>
  <c r="K74" i="3" s="1"/>
  <c r="K68" i="3"/>
  <c r="K69" i="3" s="1"/>
  <c r="K70" i="3" s="1"/>
  <c r="L71" i="3" s="1"/>
  <c r="M73" i="3" s="1"/>
  <c r="M74" i="3" s="1"/>
  <c r="D63" i="3"/>
  <c r="C65" i="3" s="1"/>
  <c r="B63" i="3"/>
  <c r="B65" i="3" s="1"/>
  <c r="E63" i="3"/>
  <c r="K46" i="3"/>
  <c r="I5" i="2"/>
  <c r="F53" i="2"/>
  <c r="C4" i="3"/>
  <c r="H23" i="2"/>
  <c r="K23" i="2" s="1"/>
  <c r="J23" i="2"/>
  <c r="M22" i="3"/>
  <c r="J7" i="2"/>
  <c r="K5" i="3"/>
  <c r="M5" i="3" s="1"/>
  <c r="A7" i="2"/>
  <c r="G1" i="3"/>
  <c r="J6" i="2"/>
  <c r="G5" i="3"/>
  <c r="C5" i="3"/>
  <c r="E5" i="3" s="1"/>
  <c r="G53" i="2"/>
  <c r="J9" i="2"/>
  <c r="G22" i="3"/>
  <c r="I22" i="3" s="1"/>
  <c r="J5" i="2"/>
  <c r="H8" i="2"/>
  <c r="K8" i="2" s="1"/>
  <c r="C21" i="3"/>
  <c r="J8" i="2"/>
  <c r="C22" i="3"/>
  <c r="E22" i="3" s="1"/>
  <c r="M44" i="2"/>
  <c r="O44" i="2"/>
  <c r="H47" i="2"/>
  <c r="K35" i="2"/>
  <c r="P35" i="2" s="1"/>
  <c r="I50" i="2"/>
  <c r="O50" i="2" s="1"/>
  <c r="K39" i="2"/>
  <c r="P39" i="2" s="1"/>
  <c r="I35" i="2"/>
  <c r="I31" i="2"/>
  <c r="M31" i="2" s="1"/>
  <c r="K19" i="2"/>
  <c r="P19" i="2" s="1"/>
  <c r="I15" i="2"/>
  <c r="O52" i="2"/>
  <c r="I19" i="2"/>
  <c r="M19" i="2" s="1"/>
  <c r="I51" i="2"/>
  <c r="O51" i="2" s="1"/>
  <c r="O5" i="2"/>
  <c r="K13" i="2"/>
  <c r="P13" i="2" s="1"/>
  <c r="L13" i="2"/>
  <c r="K51" i="2"/>
  <c r="P51" i="2" s="1"/>
  <c r="L51" i="2"/>
  <c r="M32" i="2"/>
  <c r="O32" i="2"/>
  <c r="K30" i="2"/>
  <c r="P30" i="2" s="1"/>
  <c r="L30" i="2"/>
  <c r="H46" i="2"/>
  <c r="I46" i="2"/>
  <c r="I42" i="2"/>
  <c r="H42" i="2"/>
  <c r="I38" i="2"/>
  <c r="H38" i="2"/>
  <c r="I34" i="2"/>
  <c r="I30" i="2"/>
  <c r="I26" i="2"/>
  <c r="H26" i="2"/>
  <c r="I22" i="2"/>
  <c r="H22" i="2"/>
  <c r="I18" i="2"/>
  <c r="H18" i="2"/>
  <c r="I14" i="2"/>
  <c r="I7" i="2"/>
  <c r="K7" i="3" s="1"/>
  <c r="M7" i="3" s="1"/>
  <c r="H7" i="2"/>
  <c r="K6" i="3" s="1"/>
  <c r="M6" i="3" s="1"/>
  <c r="L48" i="2"/>
  <c r="O36" i="2"/>
  <c r="M36" i="2"/>
  <c r="H34" i="2"/>
  <c r="O31" i="2"/>
  <c r="M16" i="2"/>
  <c r="O16" i="2"/>
  <c r="H5" i="2"/>
  <c r="H45" i="2"/>
  <c r="I45" i="2"/>
  <c r="I41" i="2"/>
  <c r="H41" i="2"/>
  <c r="I37" i="2"/>
  <c r="H37" i="2"/>
  <c r="I33" i="2"/>
  <c r="I29" i="2"/>
  <c r="I25" i="2"/>
  <c r="H25" i="2"/>
  <c r="I21" i="2"/>
  <c r="H21" i="2"/>
  <c r="I17" i="2"/>
  <c r="H17" i="2"/>
  <c r="I13" i="2"/>
  <c r="I10" i="2"/>
  <c r="H10" i="2"/>
  <c r="H6" i="2"/>
  <c r="G6" i="3" s="1"/>
  <c r="I6" i="3" s="1"/>
  <c r="I6" i="2"/>
  <c r="G7" i="3" s="1"/>
  <c r="I7" i="3" s="1"/>
  <c r="I49" i="2"/>
  <c r="H29" i="2"/>
  <c r="H50" i="2"/>
  <c r="H49" i="2"/>
  <c r="O47" i="2"/>
  <c r="M35" i="2"/>
  <c r="O35" i="2"/>
  <c r="H33" i="2"/>
  <c r="H14" i="2"/>
  <c r="O20" i="2"/>
  <c r="M20" i="2"/>
  <c r="H40" i="2"/>
  <c r="H36" i="2"/>
  <c r="H32" i="2"/>
  <c r="H28" i="2"/>
  <c r="H24" i="2"/>
  <c r="H20" i="2"/>
  <c r="H16" i="2"/>
  <c r="H12" i="2"/>
  <c r="H9" i="2"/>
  <c r="G23" i="3" s="1"/>
  <c r="I23" i="3" s="1"/>
  <c r="H52" i="2"/>
  <c r="H44" i="2"/>
  <c r="K43" i="2"/>
  <c r="P43" i="2" s="1"/>
  <c r="I40" i="2"/>
  <c r="I39" i="2"/>
  <c r="K27" i="2"/>
  <c r="P27" i="2" s="1"/>
  <c r="I24" i="2"/>
  <c r="I23" i="2"/>
  <c r="M24" i="3" s="1"/>
  <c r="K11" i="2"/>
  <c r="P11" i="2" s="1"/>
  <c r="I9" i="2"/>
  <c r="G24" i="3" s="1"/>
  <c r="I24" i="3" s="1"/>
  <c r="I8" i="2"/>
  <c r="C24" i="3" s="1"/>
  <c r="E24" i="3" s="1"/>
  <c r="I48" i="2"/>
  <c r="I43" i="2"/>
  <c r="K31" i="2"/>
  <c r="P31" i="2" s="1"/>
  <c r="I28" i="2"/>
  <c r="I27" i="2"/>
  <c r="K15" i="2"/>
  <c r="P15" i="2" s="1"/>
  <c r="I12" i="2"/>
  <c r="I11" i="2"/>
  <c r="H25" i="10" l="1"/>
  <c r="H26" i="10" s="1"/>
  <c r="I22" i="10" s="1"/>
  <c r="I24" i="10" s="1"/>
  <c r="E13" i="10"/>
  <c r="F9" i="10" s="1"/>
  <c r="F11" i="10" s="1"/>
  <c r="H51" i="10"/>
  <c r="I47" i="10" s="1"/>
  <c r="I49" i="10" s="1"/>
  <c r="H63" i="10"/>
  <c r="H64" i="10" s="1"/>
  <c r="I60" i="10" s="1"/>
  <c r="I62" i="10" s="1"/>
  <c r="H77" i="10"/>
  <c r="I73" i="10" s="1"/>
  <c r="I75" i="10" s="1"/>
  <c r="H37" i="10"/>
  <c r="H38" i="10" s="1"/>
  <c r="I34" i="10" s="1"/>
  <c r="I36" i="10" s="1"/>
  <c r="G76" i="9"/>
  <c r="H72" i="9" s="1"/>
  <c r="H74" i="9" s="1"/>
  <c r="H75" i="9" s="1"/>
  <c r="H76" i="9"/>
  <c r="I72" i="9" s="1"/>
  <c r="I74" i="9" s="1"/>
  <c r="I75" i="9" s="1"/>
  <c r="H63" i="9"/>
  <c r="I59" i="9" s="1"/>
  <c r="I61" i="9" s="1"/>
  <c r="I62" i="9" s="1"/>
  <c r="H50" i="9"/>
  <c r="I46" i="9" s="1"/>
  <c r="I48" i="9" s="1"/>
  <c r="I49" i="9" s="1"/>
  <c r="H37" i="9"/>
  <c r="I33" i="9" s="1"/>
  <c r="I35" i="9" s="1"/>
  <c r="I36" i="9" s="1"/>
  <c r="G25" i="9"/>
  <c r="H21" i="9" s="1"/>
  <c r="H23" i="9" s="1"/>
  <c r="H24" i="9" s="1"/>
  <c r="M11" i="9"/>
  <c r="M12" i="9" s="1"/>
  <c r="K88" i="3"/>
  <c r="K89" i="3" s="1"/>
  <c r="L91" i="3" s="1"/>
  <c r="M93" i="3" s="1"/>
  <c r="M94" i="3" s="1"/>
  <c r="L95" i="3" s="1"/>
  <c r="C93" i="3"/>
  <c r="C94" i="3" s="1"/>
  <c r="C88" i="3"/>
  <c r="C89" i="3" s="1"/>
  <c r="C90" i="3" s="1"/>
  <c r="D91" i="3" s="1"/>
  <c r="E93" i="3" s="1"/>
  <c r="E94" i="3" s="1"/>
  <c r="L75" i="3"/>
  <c r="C66" i="3"/>
  <c r="C68" i="3" s="1"/>
  <c r="C69" i="3" s="1"/>
  <c r="C70" i="3" s="1"/>
  <c r="D71" i="3" s="1"/>
  <c r="E73" i="3" s="1"/>
  <c r="E74" i="3" s="1"/>
  <c r="C73" i="3"/>
  <c r="C74" i="3" s="1"/>
  <c r="K48" i="3"/>
  <c r="L51" i="3" s="1"/>
  <c r="M53" i="3" s="1"/>
  <c r="M54" i="3" s="1"/>
  <c r="K53" i="3"/>
  <c r="K54" i="3" s="1"/>
  <c r="O19" i="2"/>
  <c r="P8" i="2"/>
  <c r="C31" i="3" s="1"/>
  <c r="E31" i="3" s="1"/>
  <c r="C26" i="3"/>
  <c r="E26" i="3" s="1"/>
  <c r="P23" i="2"/>
  <c r="M31" i="3" s="1"/>
  <c r="M26" i="3"/>
  <c r="E21" i="3"/>
  <c r="N9" i="2"/>
  <c r="G29" i="3" s="1"/>
  <c r="I29" i="3" s="1"/>
  <c r="G25" i="3"/>
  <c r="N6" i="2"/>
  <c r="G12" i="3" s="1"/>
  <c r="I12" i="3" s="1"/>
  <c r="G8" i="3"/>
  <c r="I8" i="3" s="1"/>
  <c r="I53" i="2"/>
  <c r="C7" i="3"/>
  <c r="E7" i="3" s="1"/>
  <c r="N7" i="2"/>
  <c r="K12" i="3" s="1"/>
  <c r="M12" i="3" s="1"/>
  <c r="K8" i="3"/>
  <c r="M8" i="3" s="1"/>
  <c r="L23" i="2"/>
  <c r="M27" i="3" s="1"/>
  <c r="M23" i="3"/>
  <c r="Q19" i="2"/>
  <c r="Q35" i="2"/>
  <c r="N5" i="2"/>
  <c r="J53" i="2"/>
  <c r="C8" i="3"/>
  <c r="E8" i="3" s="1"/>
  <c r="A8" i="2"/>
  <c r="K1" i="3"/>
  <c r="E4" i="3"/>
  <c r="C13" i="3"/>
  <c r="E13" i="3" s="1"/>
  <c r="M21" i="3"/>
  <c r="C6" i="3"/>
  <c r="E6" i="3" s="1"/>
  <c r="H53" i="2"/>
  <c r="M50" i="2"/>
  <c r="L8" i="2"/>
  <c r="C27" i="3" s="1"/>
  <c r="E27" i="3" s="1"/>
  <c r="C23" i="3"/>
  <c r="E23" i="3" s="1"/>
  <c r="M5" i="2"/>
  <c r="N8" i="2"/>
  <c r="C29" i="3" s="1"/>
  <c r="E29" i="3" s="1"/>
  <c r="C25" i="3"/>
  <c r="E25" i="3" s="1"/>
  <c r="I5" i="3"/>
  <c r="N23" i="2"/>
  <c r="M29" i="3" s="1"/>
  <c r="M25" i="3"/>
  <c r="O15" i="2"/>
  <c r="M51" i="2"/>
  <c r="Q51" i="2" s="1"/>
  <c r="K47" i="2"/>
  <c r="L47" i="2"/>
  <c r="M15" i="2"/>
  <c r="Q31" i="2"/>
  <c r="O23" i="2"/>
  <c r="M30" i="3" s="1"/>
  <c r="M23" i="2"/>
  <c r="K41" i="2"/>
  <c r="L41" i="2"/>
  <c r="O22" i="2"/>
  <c r="M22" i="2"/>
  <c r="K42" i="2"/>
  <c r="L42" i="2"/>
  <c r="K46" i="2"/>
  <c r="P46" i="2" s="1"/>
  <c r="L46" i="2"/>
  <c r="M27" i="2"/>
  <c r="Q27" i="2" s="1"/>
  <c r="O27" i="2"/>
  <c r="M9" i="2"/>
  <c r="G28" i="3" s="1"/>
  <c r="I28" i="3" s="1"/>
  <c r="O9" i="2"/>
  <c r="G30" i="3" s="1"/>
  <c r="I30" i="3" s="1"/>
  <c r="K16" i="2"/>
  <c r="P16" i="2" s="1"/>
  <c r="L16" i="2"/>
  <c r="K32" i="2"/>
  <c r="P32" i="2" s="1"/>
  <c r="L32" i="2"/>
  <c r="K33" i="2"/>
  <c r="L33" i="2"/>
  <c r="K29" i="2"/>
  <c r="P29" i="2" s="1"/>
  <c r="L29" i="2"/>
  <c r="L5" i="2"/>
  <c r="K5" i="2"/>
  <c r="O7" i="2"/>
  <c r="K13" i="3" s="1"/>
  <c r="M13" i="3" s="1"/>
  <c r="M7" i="2"/>
  <c r="K11" i="3" s="1"/>
  <c r="M11" i="3" s="1"/>
  <c r="M18" i="2"/>
  <c r="O18" i="2"/>
  <c r="M30" i="2"/>
  <c r="O30" i="2"/>
  <c r="M42" i="2"/>
  <c r="O42" i="2"/>
  <c r="M11" i="2"/>
  <c r="O11" i="2"/>
  <c r="O28" i="2"/>
  <c r="M28" i="2"/>
  <c r="K44" i="2"/>
  <c r="P44" i="2" s="1"/>
  <c r="L44" i="2"/>
  <c r="K12" i="2"/>
  <c r="P12" i="2" s="1"/>
  <c r="L12" i="2"/>
  <c r="K20" i="2"/>
  <c r="P20" i="2" s="1"/>
  <c r="L20" i="2"/>
  <c r="K28" i="2"/>
  <c r="P28" i="2" s="1"/>
  <c r="L28" i="2"/>
  <c r="K36" i="2"/>
  <c r="P36" i="2" s="1"/>
  <c r="L36" i="2"/>
  <c r="K50" i="2"/>
  <c r="P50" i="2" s="1"/>
  <c r="L50" i="2"/>
  <c r="O49" i="2"/>
  <c r="M49" i="2"/>
  <c r="O13" i="2"/>
  <c r="M13" i="2"/>
  <c r="K21" i="2"/>
  <c r="P21" i="2" s="1"/>
  <c r="L21" i="2"/>
  <c r="K25" i="2"/>
  <c r="P25" i="2" s="1"/>
  <c r="L25" i="2"/>
  <c r="O37" i="2"/>
  <c r="M37" i="2"/>
  <c r="M45" i="2"/>
  <c r="O45" i="2"/>
  <c r="K34" i="2"/>
  <c r="P34" i="2" s="1"/>
  <c r="L34" i="2"/>
  <c r="M14" i="2"/>
  <c r="O14" i="2"/>
  <c r="K26" i="2"/>
  <c r="P26" i="2" s="1"/>
  <c r="L26" i="2"/>
  <c r="O38" i="2"/>
  <c r="M38" i="2"/>
  <c r="O43" i="2"/>
  <c r="M43" i="2"/>
  <c r="O8" i="2"/>
  <c r="C30" i="3" s="1"/>
  <c r="E30" i="3" s="1"/>
  <c r="M8" i="2"/>
  <c r="M40" i="2"/>
  <c r="O40" i="2"/>
  <c r="K14" i="2"/>
  <c r="P14" i="2" s="1"/>
  <c r="L14" i="2"/>
  <c r="M10" i="2"/>
  <c r="O10" i="2"/>
  <c r="O21" i="2"/>
  <c r="M21" i="2"/>
  <c r="K37" i="2"/>
  <c r="P37" i="2" s="1"/>
  <c r="L37" i="2"/>
  <c r="K7" i="2"/>
  <c r="K9" i="3" s="1"/>
  <c r="M9" i="3" s="1"/>
  <c r="L7" i="2"/>
  <c r="K10" i="3" s="1"/>
  <c r="M10" i="3" s="1"/>
  <c r="K18" i="2"/>
  <c r="L18" i="2"/>
  <c r="O48" i="2"/>
  <c r="M48" i="2"/>
  <c r="M24" i="2"/>
  <c r="O24" i="2"/>
  <c r="K9" i="2"/>
  <c r="L9" i="2"/>
  <c r="G27" i="3" s="1"/>
  <c r="I27" i="3" s="1"/>
  <c r="K24" i="2"/>
  <c r="P24" i="2" s="1"/>
  <c r="L24" i="2"/>
  <c r="K40" i="2"/>
  <c r="P40" i="2" s="1"/>
  <c r="L40" i="2"/>
  <c r="K49" i="2"/>
  <c r="P49" i="2" s="1"/>
  <c r="L49" i="2"/>
  <c r="L6" i="2"/>
  <c r="G10" i="3" s="1"/>
  <c r="I10" i="3" s="1"/>
  <c r="K6" i="2"/>
  <c r="M17" i="2"/>
  <c r="O17" i="2"/>
  <c r="O29" i="2"/>
  <c r="M29" i="2"/>
  <c r="M41" i="2"/>
  <c r="O41" i="2"/>
  <c r="K38" i="2"/>
  <c r="P38" i="2" s="1"/>
  <c r="L38" i="2"/>
  <c r="O12" i="2"/>
  <c r="M12" i="2"/>
  <c r="O39" i="2"/>
  <c r="M39" i="2"/>
  <c r="K52" i="2"/>
  <c r="P52" i="2" s="1"/>
  <c r="L52" i="2"/>
  <c r="O6" i="2"/>
  <c r="G13" i="3" s="1"/>
  <c r="I13" i="3" s="1"/>
  <c r="M6" i="2"/>
  <c r="G11" i="3" s="1"/>
  <c r="I11" i="3" s="1"/>
  <c r="K10" i="2"/>
  <c r="L10" i="2"/>
  <c r="K17" i="2"/>
  <c r="P17" i="2" s="1"/>
  <c r="L17" i="2"/>
  <c r="M25" i="2"/>
  <c r="O25" i="2"/>
  <c r="M33" i="2"/>
  <c r="O33" i="2"/>
  <c r="L45" i="2"/>
  <c r="K45" i="2"/>
  <c r="P45" i="2" s="1"/>
  <c r="K22" i="2"/>
  <c r="P22" i="2" s="1"/>
  <c r="L22" i="2"/>
  <c r="M26" i="2"/>
  <c r="O26" i="2"/>
  <c r="M34" i="2"/>
  <c r="O34" i="2"/>
  <c r="M46" i="2"/>
  <c r="O46" i="2"/>
  <c r="A7" i="1"/>
  <c r="A8" i="1" s="1"/>
  <c r="A9" i="1" s="1"/>
  <c r="A10" i="1" s="1"/>
  <c r="A11" i="1" s="1"/>
  <c r="I25" i="10" l="1"/>
  <c r="I26" i="10" s="1"/>
  <c r="J22" i="10" s="1"/>
  <c r="J24" i="10" s="1"/>
  <c r="J25" i="10" s="1"/>
  <c r="F12" i="10"/>
  <c r="F13" i="10" s="1"/>
  <c r="I63" i="10"/>
  <c r="I64" i="10"/>
  <c r="J60" i="10" s="1"/>
  <c r="J62" i="10" s="1"/>
  <c r="J63" i="10" s="1"/>
  <c r="I37" i="10"/>
  <c r="I38" i="10" s="1"/>
  <c r="J34" i="10" s="1"/>
  <c r="J36" i="10" s="1"/>
  <c r="I76" i="10"/>
  <c r="I77" i="10" s="1"/>
  <c r="J73" i="10" s="1"/>
  <c r="J75" i="10" s="1"/>
  <c r="I50" i="10"/>
  <c r="I51" i="10" s="1"/>
  <c r="J47" i="10" s="1"/>
  <c r="J49" i="10" s="1"/>
  <c r="I76" i="9"/>
  <c r="J72" i="9" s="1"/>
  <c r="J74" i="9" s="1"/>
  <c r="J75" i="9" s="1"/>
  <c r="I63" i="9"/>
  <c r="J59" i="9" s="1"/>
  <c r="J61" i="9" s="1"/>
  <c r="J62" i="9" s="1"/>
  <c r="I50" i="9"/>
  <c r="J46" i="9" s="1"/>
  <c r="J48" i="9" s="1"/>
  <c r="J49" i="9" s="1"/>
  <c r="I37" i="9"/>
  <c r="J33" i="9" s="1"/>
  <c r="J35" i="9" s="1"/>
  <c r="J36" i="9" s="1"/>
  <c r="H25" i="9"/>
  <c r="I21" i="9" s="1"/>
  <c r="I23" i="9" s="1"/>
  <c r="I24" i="9" s="1"/>
  <c r="D95" i="3"/>
  <c r="D75" i="3"/>
  <c r="L55" i="3"/>
  <c r="Q15" i="2"/>
  <c r="Q24" i="2"/>
  <c r="Q43" i="2"/>
  <c r="Q34" i="2"/>
  <c r="Q20" i="2"/>
  <c r="Q32" i="2"/>
  <c r="Q46" i="2"/>
  <c r="Q22" i="2"/>
  <c r="Q23" i="2"/>
  <c r="M28" i="3"/>
  <c r="Q11" i="2"/>
  <c r="K33" i="3"/>
  <c r="Q39" i="2"/>
  <c r="Q29" i="2"/>
  <c r="P6" i="2"/>
  <c r="G14" i="3" s="1"/>
  <c r="I14" i="3" s="1"/>
  <c r="G9" i="3"/>
  <c r="I9" i="3" s="1"/>
  <c r="I16" i="3" s="1"/>
  <c r="Q40" i="2"/>
  <c r="Q48" i="2"/>
  <c r="Q8" i="2"/>
  <c r="C28" i="3"/>
  <c r="E28" i="3" s="1"/>
  <c r="E33" i="3" s="1"/>
  <c r="Q25" i="2"/>
  <c r="Q13" i="2"/>
  <c r="Q28" i="2"/>
  <c r="C9" i="3"/>
  <c r="E9" i="3" s="1"/>
  <c r="K53" i="2"/>
  <c r="Q44" i="2"/>
  <c r="Q49" i="2"/>
  <c r="M33" i="3"/>
  <c r="I25" i="3"/>
  <c r="A9" i="2"/>
  <c r="C18" i="3"/>
  <c r="Q37" i="2"/>
  <c r="P9" i="2"/>
  <c r="G31" i="3" s="1"/>
  <c r="I31" i="3" s="1"/>
  <c r="G26" i="3"/>
  <c r="I26" i="3" s="1"/>
  <c r="C10" i="3"/>
  <c r="E10" i="3" s="1"/>
  <c r="L53" i="2"/>
  <c r="Q36" i="2"/>
  <c r="M53" i="2"/>
  <c r="C11" i="3"/>
  <c r="E11" i="3" s="1"/>
  <c r="O53" i="2"/>
  <c r="N53" i="2"/>
  <c r="C12" i="3"/>
  <c r="E12" i="3" s="1"/>
  <c r="P5" i="2"/>
  <c r="Q5" i="2" s="1"/>
  <c r="P7" i="2"/>
  <c r="K14" i="3" s="1"/>
  <c r="M14" i="3" s="1"/>
  <c r="M16" i="3" s="1"/>
  <c r="P33" i="2"/>
  <c r="Q33" i="2" s="1"/>
  <c r="P42" i="2"/>
  <c r="Q42" i="2" s="1"/>
  <c r="P47" i="2"/>
  <c r="Q47" i="2" s="1"/>
  <c r="Q38" i="2"/>
  <c r="Q17" i="2"/>
  <c r="Q12" i="2"/>
  <c r="Q14" i="2"/>
  <c r="P10" i="2"/>
  <c r="Q10" i="2" s="1"/>
  <c r="P18" i="2"/>
  <c r="Q18" i="2" s="1"/>
  <c r="Q30" i="2"/>
  <c r="P41" i="2"/>
  <c r="Q41" i="2"/>
  <c r="Q45" i="2"/>
  <c r="Q16" i="2"/>
  <c r="Q26" i="2"/>
  <c r="Q50" i="2"/>
  <c r="Q21" i="2"/>
  <c r="Q52" i="2"/>
  <c r="J26" i="10" l="1"/>
  <c r="K22" i="10" s="1"/>
  <c r="K24" i="10" s="1"/>
  <c r="G9" i="10"/>
  <c r="G11" i="10" s="1"/>
  <c r="J50" i="10"/>
  <c r="J51" i="10"/>
  <c r="K47" i="10" s="1"/>
  <c r="K49" i="10" s="1"/>
  <c r="J76" i="10"/>
  <c r="J77" i="10" s="1"/>
  <c r="K73" i="10" s="1"/>
  <c r="K75" i="10" s="1"/>
  <c r="K76" i="10" s="1"/>
  <c r="J64" i="10"/>
  <c r="K60" i="10" s="1"/>
  <c r="K62" i="10" s="1"/>
  <c r="J37" i="10"/>
  <c r="J38" i="10" s="1"/>
  <c r="K34" i="10" s="1"/>
  <c r="K36" i="10" s="1"/>
  <c r="J76" i="9"/>
  <c r="K72" i="9" s="1"/>
  <c r="K74" i="9" s="1"/>
  <c r="K75" i="9" s="1"/>
  <c r="J63" i="9"/>
  <c r="K59" i="9" s="1"/>
  <c r="K61" i="9" s="1"/>
  <c r="K62" i="9" s="1"/>
  <c r="J50" i="9"/>
  <c r="K46" i="9" s="1"/>
  <c r="K48" i="9" s="1"/>
  <c r="K49" i="9" s="1"/>
  <c r="J37" i="9"/>
  <c r="K33" i="9" s="1"/>
  <c r="K35" i="9" s="1"/>
  <c r="K36" i="9" s="1"/>
  <c r="I25" i="9"/>
  <c r="J21" i="9" s="1"/>
  <c r="J23" i="9" s="1"/>
  <c r="J24" i="9" s="1"/>
  <c r="Q6" i="2"/>
  <c r="G16" i="3"/>
  <c r="A10" i="2"/>
  <c r="G18" i="3"/>
  <c r="G33" i="3"/>
  <c r="K16" i="3"/>
  <c r="C33" i="3"/>
  <c r="C14" i="3"/>
  <c r="E14" i="3" s="1"/>
  <c r="E16" i="3" s="1"/>
  <c r="P53" i="2"/>
  <c r="I33" i="3"/>
  <c r="Q9" i="2"/>
  <c r="Q7" i="2"/>
  <c r="Q53" i="2" s="1"/>
  <c r="K25" i="10" l="1"/>
  <c r="K26" i="10" s="1"/>
  <c r="L22" i="10" s="1"/>
  <c r="L24" i="10" s="1"/>
  <c r="G12" i="10"/>
  <c r="G13" i="10" s="1"/>
  <c r="K37" i="10"/>
  <c r="K38" i="10" s="1"/>
  <c r="L34" i="10" s="1"/>
  <c r="L36" i="10" s="1"/>
  <c r="K77" i="10"/>
  <c r="L73" i="10" s="1"/>
  <c r="L75" i="10" s="1"/>
  <c r="K63" i="10"/>
  <c r="K64" i="10" s="1"/>
  <c r="L60" i="10" s="1"/>
  <c r="L62" i="10" s="1"/>
  <c r="K50" i="10"/>
  <c r="K51" i="10" s="1"/>
  <c r="L47" i="10" s="1"/>
  <c r="L49" i="10" s="1"/>
  <c r="K76" i="9"/>
  <c r="L72" i="9" s="1"/>
  <c r="L74" i="9" s="1"/>
  <c r="L75" i="9" s="1"/>
  <c r="K63" i="9"/>
  <c r="L59" i="9" s="1"/>
  <c r="L61" i="9" s="1"/>
  <c r="L62" i="9" s="1"/>
  <c r="K50" i="9"/>
  <c r="L46" i="9" s="1"/>
  <c r="L48" i="9" s="1"/>
  <c r="L49" i="9" s="1"/>
  <c r="K37" i="9"/>
  <c r="L33" i="9" s="1"/>
  <c r="L35" i="9" s="1"/>
  <c r="L36" i="9" s="1"/>
  <c r="J25" i="9"/>
  <c r="K21" i="9" s="1"/>
  <c r="K23" i="9" s="1"/>
  <c r="K24" i="9" s="1"/>
  <c r="K18" i="3"/>
  <c r="C16" i="3"/>
  <c r="L25" i="10" l="1"/>
  <c r="L26" i="10"/>
  <c r="M22" i="10" s="1"/>
  <c r="M24" i="10" s="1"/>
  <c r="H9" i="10"/>
  <c r="H11" i="10" s="1"/>
  <c r="L37" i="10"/>
  <c r="L38" i="10" s="1"/>
  <c r="M34" i="10" s="1"/>
  <c r="M36" i="10" s="1"/>
  <c r="L50" i="10"/>
  <c r="L51" i="10" s="1"/>
  <c r="M47" i="10" s="1"/>
  <c r="M49" i="10" s="1"/>
  <c r="L76" i="10"/>
  <c r="L77" i="10" s="1"/>
  <c r="M73" i="10" s="1"/>
  <c r="M75" i="10" s="1"/>
  <c r="L63" i="10"/>
  <c r="L64" i="10" s="1"/>
  <c r="M60" i="10" s="1"/>
  <c r="M62" i="10" s="1"/>
  <c r="L76" i="9"/>
  <c r="M72" i="9" s="1"/>
  <c r="M74" i="9" s="1"/>
  <c r="M75" i="9" s="1"/>
  <c r="L63" i="9"/>
  <c r="M59" i="9" s="1"/>
  <c r="M61" i="9" s="1"/>
  <c r="M62" i="9" s="1"/>
  <c r="L50" i="9"/>
  <c r="M46" i="9" s="1"/>
  <c r="M48" i="9" s="1"/>
  <c r="M49" i="9" s="1"/>
  <c r="L37" i="9"/>
  <c r="M33" i="9" s="1"/>
  <c r="M35" i="9" s="1"/>
  <c r="M36" i="9" s="1"/>
  <c r="K25" i="9"/>
  <c r="L21" i="9" s="1"/>
  <c r="L23" i="9" s="1"/>
  <c r="L24" i="9" s="1"/>
  <c r="M25" i="10" l="1"/>
  <c r="M26" i="10"/>
  <c r="H12" i="10"/>
  <c r="H13" i="10" s="1"/>
  <c r="M63" i="10"/>
  <c r="M64" i="10" s="1"/>
  <c r="M37" i="10"/>
  <c r="M38" i="10" s="1"/>
  <c r="M76" i="10"/>
  <c r="M77" i="10" s="1"/>
  <c r="M50" i="10"/>
  <c r="M51" i="10" s="1"/>
  <c r="M76" i="9"/>
  <c r="M63" i="9"/>
  <c r="M50" i="9"/>
  <c r="M37" i="9"/>
  <c r="L25" i="9"/>
  <c r="M21" i="9" s="1"/>
  <c r="M23" i="9" s="1"/>
  <c r="M24" i="9" s="1"/>
  <c r="I9" i="10" l="1"/>
  <c r="I11" i="10" s="1"/>
  <c r="M25" i="9"/>
  <c r="I12" i="10" l="1"/>
  <c r="I13" i="10" s="1"/>
  <c r="J9" i="10" l="1"/>
  <c r="J11" i="10" s="1"/>
  <c r="J12" i="10" s="1"/>
  <c r="J13" i="10" l="1"/>
  <c r="K9" i="10" l="1"/>
  <c r="K11" i="10" s="1"/>
  <c r="K12" i="10" l="1"/>
  <c r="K13" i="10" s="1"/>
  <c r="L9" i="10" l="1"/>
  <c r="L11" i="10" s="1"/>
  <c r="L12" i="10" l="1"/>
  <c r="L13" i="10" s="1"/>
  <c r="M9" i="10" l="1"/>
  <c r="M11" i="10" s="1"/>
  <c r="M12" i="10" l="1"/>
  <c r="M13" i="10" s="1"/>
</calcChain>
</file>

<file path=xl/sharedStrings.xml><?xml version="1.0" encoding="utf-8"?>
<sst xmlns="http://schemas.openxmlformats.org/spreadsheetml/2006/main" count="857" uniqueCount="192">
  <si>
    <t>CODIGO</t>
  </si>
  <si>
    <t>PRODUCTO</t>
  </si>
  <si>
    <t>SKU</t>
  </si>
  <si>
    <t>CODIGO DE BARRAS</t>
  </si>
  <si>
    <t>LINEA DE PRODUCTO</t>
  </si>
  <si>
    <t>TIPO DE PRODUCTO</t>
  </si>
  <si>
    <t>DULCES DUROS</t>
  </si>
  <si>
    <t>DULCES DE CAFÉ</t>
  </si>
  <si>
    <t>Confiteria</t>
  </si>
  <si>
    <t>PRESENTACION COMERCIAL</t>
  </si>
  <si>
    <t>PRECIO PARA EL CONSUMIDOR</t>
  </si>
  <si>
    <t>Terminado</t>
  </si>
  <si>
    <t>WAFER BRIDGE MINITACO FRESA</t>
  </si>
  <si>
    <t>WAFER BRIDGE MINITACO VAINILLA</t>
  </si>
  <si>
    <t>WAFER NUCITA CUBIERTA DE CHOCOLATE</t>
  </si>
  <si>
    <t>MUUU GALLETA DE CHOCOLATE</t>
  </si>
  <si>
    <t>PIAZZA CHOCOLATE</t>
  </si>
  <si>
    <t>PIAZZA FRESA</t>
  </si>
  <si>
    <t>PONKY PONQUE</t>
  </si>
  <si>
    <t>CRAQUEÑAS GALLETAS SALTIN TACO</t>
  </si>
  <si>
    <t>Galleteria</t>
  </si>
  <si>
    <t>Chocolates y Café</t>
  </si>
  <si>
    <t>NUCITA</t>
  </si>
  <si>
    <t>BARRA DE CHOCOLATE KICK</t>
  </si>
  <si>
    <t>CHOCO BREAK</t>
  </si>
  <si>
    <t xml:space="preserve">CHOCO MASMELOS </t>
  </si>
  <si>
    <t>CAFÉ BUEN DIA</t>
  </si>
  <si>
    <t>ESTUCHES DE BOMBONES</t>
  </si>
  <si>
    <t>LISTADO MAESTRO DE PRODUCTOS DE TRANSMILENIO LOGISTICA DE TRANSPORTE GRUPO NOCHE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</si>
  <si>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</si>
  <si>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</si>
  <si>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</si>
  <si>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</si>
  <si>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</si>
  <si>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</si>
  <si>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</si>
  <si>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</si>
  <si>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Helados</t>
  </si>
  <si>
    <t>SARDINA VAN CAMP’S EN ACEITE  DE 298 gr</t>
  </si>
  <si>
    <t>ATUN VAN CAMP’S EN AGUA DE 184 gr</t>
  </si>
  <si>
    <t>ATUN VAN CAMP’S EN AGUA DE 354 gr</t>
  </si>
  <si>
    <t>ATUN VAN CAMP’S EN ACEITE DE 184 gr</t>
  </si>
  <si>
    <t>ATUN VAN CAMP’S EN ACEITE DE 354 gr</t>
  </si>
  <si>
    <t>AREQUIPE COLOMBINA POR 50 gr</t>
  </si>
  <si>
    <t>AREQUIPE COLOMBINA POR 250 gr</t>
  </si>
  <si>
    <t>AREQUIPE COLOMBINA POR 500 gr</t>
  </si>
  <si>
    <t>LECHE CONDENSADA COLOMBINA POR 300 gr</t>
  </si>
  <si>
    <t>LECHE CONDENSADA COLOMBINA POR 400 gr</t>
  </si>
  <si>
    <t>POLVOS AZUCARADOS BIPBIP FRIO</t>
  </si>
  <si>
    <t>BONBOMBUM</t>
  </si>
  <si>
    <t xml:space="preserve">SALSA DE TOMATE </t>
  </si>
  <si>
    <t xml:space="preserve">SALSA MOSTANEZA ORIGINAL </t>
  </si>
  <si>
    <t>SALSA MOSTANEZ RANCHERA</t>
  </si>
  <si>
    <t>MERMELADA DE FRUTOS ROJOS</t>
  </si>
  <si>
    <t>MERMELADA DE PIÑA</t>
  </si>
  <si>
    <t>BONBOMBUM SIN RELLENO SABORES SURTIDOS</t>
  </si>
  <si>
    <t>DULCE FRUTICAS</t>
  </si>
  <si>
    <t>Salsas y conservas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</si>
  <si>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</si>
  <si>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</si>
  <si>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</si>
  <si>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</si>
  <si>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</si>
  <si>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</si>
  <si>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</si>
  <si>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</si>
  <si>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>Paq x 8</t>
  </si>
  <si>
    <t>Paq x 9</t>
  </si>
  <si>
    <t>Paq x 10</t>
  </si>
  <si>
    <t>Paq x 6</t>
  </si>
  <si>
    <t>Paq x 7</t>
  </si>
  <si>
    <t> 7702011047588</t>
  </si>
  <si>
    <t> 7702011005397</t>
  </si>
  <si>
    <t> 7702011026439</t>
  </si>
  <si>
    <t> 7702011048042</t>
  </si>
  <si>
    <t> 7702011046703</t>
  </si>
  <si>
    <t>SARDINA VAN CAMP’S EN TOMATE DE 170 gr</t>
  </si>
  <si>
    <t>SARDINA VAN CAMP’S EN TOMATE POR 425 gr</t>
  </si>
  <si>
    <t xml:space="preserve"> 425 grs.</t>
  </si>
  <si>
    <t>298 grs</t>
  </si>
  <si>
    <t>170 grs</t>
  </si>
  <si>
    <t>184 grs</t>
  </si>
  <si>
    <t>354 grs</t>
  </si>
  <si>
    <t>50  grs</t>
  </si>
  <si>
    <t>250 grs</t>
  </si>
  <si>
    <t>500 grs</t>
  </si>
  <si>
    <t>300 grs</t>
  </si>
  <si>
    <t>400 grs</t>
  </si>
  <si>
    <t>Enlatados de pescado</t>
  </si>
  <si>
    <t>Postres</t>
  </si>
  <si>
    <t>X 6 UND</t>
  </si>
  <si>
    <t>X 30 UND</t>
  </si>
  <si>
    <t>X 12 UND</t>
  </si>
  <si>
    <t>X 85 GR</t>
  </si>
  <si>
    <t>VINAGRETA</t>
  </si>
  <si>
    <t>SALSA PARA PASTAS CON CHAMPIÑONES</t>
  </si>
  <si>
    <t>DOY PACK * 400 g</t>
  </si>
  <si>
    <t>DOY PACK * 200 g</t>
  </si>
  <si>
    <t>DOY PACK * 380 g</t>
  </si>
  <si>
    <t>DOY PACK  * 200 g</t>
  </si>
  <si>
    <t>FRASCO * 325g</t>
  </si>
  <si>
    <t>FRASCO * 450g</t>
  </si>
  <si>
    <t>14 ONZAS</t>
  </si>
  <si>
    <t>7 ONZAS</t>
  </si>
  <si>
    <t>13.3 ONZAS</t>
  </si>
  <si>
    <t>11 ONZAS</t>
  </si>
  <si>
    <t>15.7 ONZAS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</si>
  <si>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</si>
  <si>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</si>
  <si>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</si>
  <si>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</si>
  <si>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</si>
  <si>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</si>
  <si>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</si>
  <si>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</si>
  <si>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</si>
  <si>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</si>
  <si>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</si>
  <si>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</si>
  <si>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TOTAL</t>
  </si>
  <si>
    <t>paq x 24</t>
  </si>
  <si>
    <t>paq x 100</t>
  </si>
  <si>
    <t>DULCES DE CAFÉ DUROS</t>
  </si>
  <si>
    <t>NUMERO DE REGISTROS</t>
  </si>
  <si>
    <t>SUMATORIA</t>
  </si>
  <si>
    <t>X</t>
  </si>
  <si>
    <t>Y</t>
  </si>
  <si>
    <t>X2</t>
  </si>
  <si>
    <t>XY</t>
  </si>
  <si>
    <t>CONTEO</t>
  </si>
  <si>
    <t>FORMULA</t>
  </si>
  <si>
    <t>Bxy</t>
  </si>
  <si>
    <t>Cxy</t>
  </si>
  <si>
    <t>remplazo</t>
  </si>
  <si>
    <t>remplazamon en la 2</t>
  </si>
  <si>
    <t>=</t>
  </si>
  <si>
    <t>Y=</t>
  </si>
  <si>
    <t>+</t>
  </si>
  <si>
    <t>MES</t>
  </si>
  <si>
    <t>PRODUCTOS COLOMBINA PRONOSTICO PONDERADO</t>
  </si>
  <si>
    <t>ESTIMADO</t>
  </si>
  <si>
    <t>PRONOSTICO</t>
  </si>
  <si>
    <t>ERROR</t>
  </si>
  <si>
    <t>PORCENTUAL ABSOLUTO</t>
  </si>
  <si>
    <t>PROYECCION A 12 MESES PRODUCTOS COLOMBINA</t>
  </si>
  <si>
    <t xml:space="preserve"> </t>
  </si>
  <si>
    <t>100001 BOMBONBUNES</t>
  </si>
  <si>
    <t>100002 BOMBONBUNES RELLENOS DE SABORES SURTIDOS</t>
  </si>
  <si>
    <t>100003POLVOS AZUCARADOS BIPBIP FRIO</t>
  </si>
  <si>
    <t>100004  DULCES FRUTICAS</t>
  </si>
  <si>
    <t>100005 DULCES DUROS</t>
  </si>
  <si>
    <t>100006 DULCES DE CAFÉ</t>
  </si>
  <si>
    <t>PONDERADOS</t>
  </si>
  <si>
    <t>MES7</t>
  </si>
  <si>
    <t>COD BARRA</t>
  </si>
  <si>
    <t>BOMBONBUNES</t>
  </si>
  <si>
    <t>DEMANDA</t>
  </si>
  <si>
    <t>COSTO ORDENAR</t>
  </si>
  <si>
    <t>COSTO MANTENIMIENTO</t>
  </si>
  <si>
    <t>2DS</t>
  </si>
  <si>
    <t>2DS/H</t>
  </si>
  <si>
    <t>Q</t>
  </si>
  <si>
    <t>LOTES</t>
  </si>
  <si>
    <t>*</t>
  </si>
  <si>
    <t>IVA</t>
  </si>
  <si>
    <t>35% DESC_ MAY</t>
  </si>
  <si>
    <t>COSTO EXWORK</t>
  </si>
  <si>
    <t>30% UTILIDAD</t>
  </si>
  <si>
    <t>COSTO NETO</t>
  </si>
  <si>
    <t>60%  GTOS ADMON</t>
  </si>
  <si>
    <t>COSTO BRUTO</t>
  </si>
  <si>
    <t>5% TENENCIA</t>
  </si>
  <si>
    <t>COSTO DE ORDENAR</t>
  </si>
  <si>
    <t>para calcular inventario de seguridad</t>
  </si>
  <si>
    <t>total a;o</t>
  </si>
  <si>
    <t>promedio</t>
  </si>
  <si>
    <t>diviido por dias del mes</t>
  </si>
  <si>
    <t>stokc de seguridad</t>
  </si>
  <si>
    <t>PROGRAMA MAESTRO DE PRODUCCION</t>
  </si>
  <si>
    <t>CONCEPTO</t>
  </si>
  <si>
    <t>PRODUCTO:</t>
  </si>
  <si>
    <t>Pronostico</t>
  </si>
  <si>
    <t>Disponible</t>
  </si>
  <si>
    <t>MPS</t>
  </si>
  <si>
    <t>Inventario</t>
  </si>
  <si>
    <t>SEMANAS</t>
  </si>
  <si>
    <t>TAMANO DEL LOTE</t>
  </si>
  <si>
    <t>DISPONIBLE(INVENTARIO INICIAL)</t>
  </si>
  <si>
    <t>Inv inicial</t>
  </si>
  <si>
    <t>inv de seguridad</t>
  </si>
  <si>
    <t>MESES DEL AÑO</t>
  </si>
  <si>
    <t>COLOMBINA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</si>
</sst>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(* #,##0_);_(* \(#,##0\);_(* &quot;-&quot;??_);_(@_)"/>
    <numFmt numFmtId="167" formatCode="0_);\(0\)"/>
    <numFmt numFmtId="168" formatCode="#,##0;[Red]#,##0"/>
    <numFmt numFmtId="169" formatCode="_-* #,##0.00\ _€_-;\-* #,##0.00\ _€_-;_-* &quot;-&quot;??\ _€_-;_-@_-"/>
    <numFmt numFmtId="170" formatCode="_-* #,##0\ _€_-;\-* #,##0\ _€_-;_-* &quot;-&quot;??\ _€_-;_-@_-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002060"/>
      <name val="Calibri"/>
      <family val="2"/>
      <scheme val="minor"/>
    </font>
    <font>
      <sz val="16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0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Border="1"/>
    <xf numFmtId="0" fontId="0" fillId="2" borderId="0" xfId="0" applyFill="1"/>
    <xf numFmtId="0" fontId="0" fillId="0" borderId="0" xfId="0"/>
    <xf numFmtId="0" fontId="2" fillId="2" borderId="0" xfId="0" applyFont="1" applyFill="1" applyBorder="1"/>
    <xf numFmtId="0" fontId="3" fillId="2" borderId="0" xfId="0" applyFont="1" applyFill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66" fontId="0" fillId="0" borderId="0" xfId="1" applyNumberFormat="1" applyFont="1" applyBorder="1"/>
    <xf numFmtId="166" fontId="3" fillId="2" borderId="0" xfId="1" applyNumberFormat="1" applyFont="1" applyFill="1" applyAlignment="1">
      <alignment horizontal="center"/>
    </xf>
    <xf numFmtId="166" fontId="1" fillId="2" borderId="0" xfId="1" applyNumberFormat="1" applyFont="1" applyFill="1" applyBorder="1"/>
    <xf numFmtId="166" fontId="0" fillId="2" borderId="0" xfId="1" applyNumberFormat="1" applyFont="1" applyFill="1"/>
    <xf numFmtId="166" fontId="0" fillId="0" borderId="0" xfId="1" applyNumberFormat="1" applyFont="1"/>
    <xf numFmtId="0" fontId="0" fillId="0" borderId="0" xfId="0" applyBorder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Alignment="1">
      <alignment horizontal="left"/>
    </xf>
    <xf numFmtId="166" fontId="6" fillId="2" borderId="0" xfId="1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6" fontId="1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/>
    <xf numFmtId="166" fontId="0" fillId="2" borderId="1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166" fontId="2" fillId="2" borderId="1" xfId="1" applyNumberFormat="1" applyFont="1" applyFill="1" applyBorder="1"/>
    <xf numFmtId="1" fontId="2" fillId="2" borderId="1" xfId="0" applyNumberFormat="1" applyFon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left"/>
    </xf>
    <xf numFmtId="166" fontId="1" fillId="2" borderId="1" xfId="1" applyNumberFormat="1" applyFont="1" applyFill="1" applyBorder="1"/>
    <xf numFmtId="0" fontId="1" fillId="2" borderId="1" xfId="0" applyFont="1" applyFill="1" applyBorder="1" applyAlignment="1">
      <alignment horizontal="right"/>
    </xf>
    <xf numFmtId="167" fontId="5" fillId="2" borderId="1" xfId="2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left" vertical="center" wrapText="1"/>
    </xf>
    <xf numFmtId="0" fontId="0" fillId="0" borderId="10" xfId="0" applyBorder="1"/>
    <xf numFmtId="1" fontId="0" fillId="0" borderId="0" xfId="0" applyNumberFormat="1" applyBorder="1"/>
    <xf numFmtId="0" fontId="0" fillId="0" borderId="12" xfId="0" applyBorder="1"/>
    <xf numFmtId="0" fontId="0" fillId="0" borderId="13" xfId="0" applyBorder="1"/>
    <xf numFmtId="168" fontId="0" fillId="0" borderId="0" xfId="0" applyNumberFormat="1" applyBorder="1"/>
    <xf numFmtId="0" fontId="9" fillId="2" borderId="1" xfId="0" applyFont="1" applyFill="1" applyBorder="1"/>
    <xf numFmtId="0" fontId="10" fillId="2" borderId="1" xfId="0" applyFont="1" applyFill="1" applyBorder="1"/>
    <xf numFmtId="166" fontId="10" fillId="2" borderId="1" xfId="1" applyNumberFormat="1" applyFont="1" applyFill="1" applyBorder="1"/>
    <xf numFmtId="0" fontId="10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9" xfId="0" applyBorder="1"/>
    <xf numFmtId="1" fontId="0" fillId="0" borderId="19" xfId="0" applyNumberFormat="1" applyBorder="1"/>
    <xf numFmtId="168" fontId="0" fillId="0" borderId="19" xfId="0" applyNumberFormat="1" applyBorder="1"/>
    <xf numFmtId="0" fontId="11" fillId="2" borderId="8" xfId="0" applyFont="1" applyFill="1" applyBorder="1"/>
    <xf numFmtId="0" fontId="7" fillId="0" borderId="10" xfId="0" applyFont="1" applyBorder="1"/>
    <xf numFmtId="0" fontId="7" fillId="0" borderId="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8" fontId="7" fillId="0" borderId="1" xfId="0" applyNumberFormat="1" applyFont="1" applyBorder="1"/>
    <xf numFmtId="168" fontId="7" fillId="0" borderId="11" xfId="0" applyNumberFormat="1" applyFont="1" applyBorder="1"/>
    <xf numFmtId="0" fontId="10" fillId="0" borderId="10" xfId="0" applyFont="1" applyBorder="1"/>
    <xf numFmtId="168" fontId="10" fillId="0" borderId="1" xfId="0" applyNumberFormat="1" applyFont="1" applyBorder="1"/>
    <xf numFmtId="0" fontId="7" fillId="0" borderId="13" xfId="0" applyFont="1" applyBorder="1"/>
    <xf numFmtId="168" fontId="7" fillId="0" borderId="20" xfId="0" applyNumberFormat="1" applyFont="1" applyBorder="1"/>
    <xf numFmtId="168" fontId="7" fillId="0" borderId="21" xfId="0" applyNumberFormat="1" applyFont="1" applyBorder="1"/>
    <xf numFmtId="1" fontId="12" fillId="0" borderId="2" xfId="0" applyNumberFormat="1" applyFont="1" applyBorder="1"/>
    <xf numFmtId="0" fontId="12" fillId="0" borderId="4" xfId="0" applyFont="1" applyBorder="1"/>
    <xf numFmtId="0" fontId="0" fillId="0" borderId="22" xfId="0" applyBorder="1"/>
    <xf numFmtId="0" fontId="0" fillId="0" borderId="7" xfId="0" applyBorder="1"/>
    <xf numFmtId="0" fontId="0" fillId="0" borderId="14" xfId="0" applyBorder="1"/>
    <xf numFmtId="0" fontId="13" fillId="0" borderId="0" xfId="0" applyFont="1" applyBorder="1"/>
    <xf numFmtId="168" fontId="13" fillId="0" borderId="2" xfId="0" applyNumberFormat="1" applyFont="1" applyBorder="1"/>
    <xf numFmtId="0" fontId="13" fillId="0" borderId="3" xfId="0" applyFont="1" applyBorder="1"/>
    <xf numFmtId="0" fontId="13" fillId="0" borderId="4" xfId="0" applyFont="1" applyBorder="1"/>
    <xf numFmtId="0" fontId="0" fillId="0" borderId="18" xfId="0" applyBorder="1"/>
    <xf numFmtId="0" fontId="0" fillId="0" borderId="15" xfId="0" applyBorder="1"/>
    <xf numFmtId="168" fontId="8" fillId="0" borderId="14" xfId="0" applyNumberFormat="1" applyFont="1" applyBorder="1"/>
    <xf numFmtId="0" fontId="14" fillId="0" borderId="7" xfId="0" applyFont="1" applyBorder="1" applyAlignment="1"/>
    <xf numFmtId="0" fontId="14" fillId="0" borderId="6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68" fontId="14" fillId="0" borderId="6" xfId="0" applyNumberFormat="1" applyFont="1" applyBorder="1"/>
    <xf numFmtId="168" fontId="14" fillId="0" borderId="1" xfId="0" applyNumberFormat="1" applyFont="1" applyBorder="1"/>
    <xf numFmtId="168" fontId="16" fillId="0" borderId="6" xfId="0" applyNumberFormat="1" applyFont="1" applyBorder="1"/>
    <xf numFmtId="0" fontId="15" fillId="2" borderId="24" xfId="0" applyFont="1" applyFill="1" applyBorder="1"/>
    <xf numFmtId="168" fontId="14" fillId="0" borderId="11" xfId="0" applyNumberFormat="1" applyFont="1" applyBorder="1"/>
    <xf numFmtId="168" fontId="14" fillId="0" borderId="20" xfId="0" applyNumberFormat="1" applyFont="1" applyBorder="1"/>
    <xf numFmtId="168" fontId="14" fillId="0" borderId="21" xfId="0" applyNumberFormat="1" applyFont="1" applyBorder="1"/>
    <xf numFmtId="168" fontId="14" fillId="0" borderId="27" xfId="0" applyNumberFormat="1" applyFont="1" applyBorder="1"/>
    <xf numFmtId="0" fontId="17" fillId="0" borderId="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68" fontId="17" fillId="0" borderId="1" xfId="0" applyNumberFormat="1" applyFont="1" applyBorder="1"/>
    <xf numFmtId="0" fontId="17" fillId="0" borderId="23" xfId="0" applyFont="1" applyBorder="1" applyAlignment="1"/>
    <xf numFmtId="0" fontId="18" fillId="2" borderId="24" xfId="0" applyFont="1" applyFill="1" applyBorder="1"/>
    <xf numFmtId="0" fontId="17" fillId="0" borderId="25" xfId="0" applyFont="1" applyBorder="1" applyAlignment="1">
      <alignment horizontal="center"/>
    </xf>
    <xf numFmtId="168" fontId="17" fillId="0" borderId="25" xfId="0" applyNumberFormat="1" applyFont="1" applyBorder="1"/>
    <xf numFmtId="168" fontId="17" fillId="0" borderId="11" xfId="0" applyNumberFormat="1" applyFont="1" applyBorder="1"/>
    <xf numFmtId="168" fontId="19" fillId="0" borderId="25" xfId="0" applyNumberFormat="1" applyFont="1" applyBorder="1"/>
    <xf numFmtId="168" fontId="17" fillId="0" borderId="26" xfId="0" applyNumberFormat="1" applyFont="1" applyBorder="1"/>
    <xf numFmtId="168" fontId="17" fillId="0" borderId="20" xfId="0" applyNumberFormat="1" applyFont="1" applyBorder="1"/>
    <xf numFmtId="168" fontId="17" fillId="0" borderId="21" xfId="0" applyNumberFormat="1" applyFont="1" applyBorder="1"/>
    <xf numFmtId="0" fontId="21" fillId="2" borderId="8" xfId="0" applyFont="1" applyFill="1" applyBorder="1"/>
    <xf numFmtId="0" fontId="20" fillId="0" borderId="10" xfId="0" applyFont="1" applyBorder="1"/>
    <xf numFmtId="0" fontId="20" fillId="0" borderId="1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168" fontId="20" fillId="0" borderId="1" xfId="0" applyNumberFormat="1" applyFont="1" applyBorder="1"/>
    <xf numFmtId="168" fontId="20" fillId="0" borderId="11" xfId="0" applyNumberFormat="1" applyFont="1" applyBorder="1"/>
    <xf numFmtId="0" fontId="22" fillId="0" borderId="10" xfId="0" applyFont="1" applyBorder="1"/>
    <xf numFmtId="168" fontId="22" fillId="0" borderId="1" xfId="0" applyNumberFormat="1" applyFont="1" applyBorder="1"/>
    <xf numFmtId="0" fontId="20" fillId="0" borderId="13" xfId="0" applyFont="1" applyBorder="1"/>
    <xf numFmtId="168" fontId="20" fillId="0" borderId="20" xfId="0" applyNumberFormat="1" applyFont="1" applyBorder="1"/>
    <xf numFmtId="168" fontId="20" fillId="0" borderId="21" xfId="0" applyNumberFormat="1" applyFont="1" applyBorder="1"/>
    <xf numFmtId="0" fontId="23" fillId="0" borderId="23" xfId="0" applyFont="1" applyBorder="1" applyAlignment="1"/>
    <xf numFmtId="0" fontId="24" fillId="2" borderId="24" xfId="0" applyFont="1" applyFill="1" applyBorder="1"/>
    <xf numFmtId="0" fontId="23" fillId="0" borderId="25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168" fontId="23" fillId="0" borderId="25" xfId="0" applyNumberFormat="1" applyFont="1" applyBorder="1"/>
    <xf numFmtId="168" fontId="23" fillId="0" borderId="1" xfId="0" applyNumberFormat="1" applyFont="1" applyBorder="1"/>
    <xf numFmtId="168" fontId="23" fillId="0" borderId="11" xfId="0" applyNumberFormat="1" applyFont="1" applyBorder="1"/>
    <xf numFmtId="168" fontId="25" fillId="0" borderId="25" xfId="0" applyNumberFormat="1" applyFont="1" applyBorder="1"/>
    <xf numFmtId="168" fontId="23" fillId="0" borderId="26" xfId="0" applyNumberFormat="1" applyFont="1" applyBorder="1"/>
    <xf numFmtId="168" fontId="23" fillId="0" borderId="20" xfId="0" applyNumberFormat="1" applyFont="1" applyBorder="1"/>
    <xf numFmtId="168" fontId="23" fillId="0" borderId="21" xfId="0" applyNumberFormat="1" applyFont="1" applyBorder="1"/>
    <xf numFmtId="0" fontId="8" fillId="0" borderId="0" xfId="0" applyFont="1"/>
    <xf numFmtId="0" fontId="0" fillId="0" borderId="28" xfId="0" applyBorder="1"/>
    <xf numFmtId="0" fontId="0" fillId="0" borderId="1" xfId="0" applyBorder="1"/>
    <xf numFmtId="0" fontId="0" fillId="0" borderId="29" xfId="0" applyBorder="1"/>
    <xf numFmtId="168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2" xfId="0" applyBorder="1" applyAlignment="1">
      <alignment wrapText="1"/>
    </xf>
    <xf numFmtId="168" fontId="0" fillId="0" borderId="6" xfId="0" applyNumberFormat="1" applyBorder="1"/>
    <xf numFmtId="0" fontId="0" fillId="0" borderId="23" xfId="0" applyBorder="1"/>
    <xf numFmtId="0" fontId="0" fillId="0" borderId="29" xfId="0" applyFill="1" applyBorder="1"/>
    <xf numFmtId="0" fontId="0" fillId="0" borderId="28" xfId="0" applyFill="1" applyBorder="1"/>
    <xf numFmtId="0" fontId="0" fillId="0" borderId="10" xfId="0" applyFill="1" applyBorder="1"/>
    <xf numFmtId="0" fontId="8" fillId="0" borderId="1" xfId="0" applyFont="1" applyBorder="1"/>
    <xf numFmtId="168" fontId="8" fillId="0" borderId="1" xfId="0" applyNumberFormat="1" applyFont="1" applyBorder="1"/>
    <xf numFmtId="3" fontId="0" fillId="0" borderId="1" xfId="0" applyNumberFormat="1" applyBorder="1"/>
    <xf numFmtId="168" fontId="26" fillId="0" borderId="1" xfId="0" applyNumberFormat="1" applyFont="1" applyBorder="1"/>
    <xf numFmtId="168" fontId="0" fillId="0" borderId="30" xfId="0" applyNumberFormat="1" applyBorder="1"/>
    <xf numFmtId="0" fontId="0" fillId="0" borderId="1" xfId="0" applyFill="1" applyBorder="1"/>
    <xf numFmtId="9" fontId="0" fillId="0" borderId="1" xfId="3" applyFont="1" applyBorder="1"/>
    <xf numFmtId="0" fontId="26" fillId="0" borderId="1" xfId="0" applyFont="1" applyBorder="1"/>
    <xf numFmtId="168" fontId="0" fillId="0" borderId="1" xfId="0" applyNumberFormat="1" applyFont="1" applyBorder="1"/>
    <xf numFmtId="0" fontId="0" fillId="0" borderId="24" xfId="0" applyBorder="1"/>
    <xf numFmtId="0" fontId="0" fillId="0" borderId="16" xfId="0" applyBorder="1" applyAlignment="1">
      <alignment horizontal="center"/>
    </xf>
    <xf numFmtId="0" fontId="0" fillId="0" borderId="31" xfId="0" applyBorder="1"/>
    <xf numFmtId="0" fontId="0" fillId="0" borderId="11" xfId="0" applyBorder="1"/>
    <xf numFmtId="9" fontId="0" fillId="0" borderId="11" xfId="3" applyFont="1" applyBorder="1"/>
    <xf numFmtId="0" fontId="8" fillId="0" borderId="11" xfId="0" applyFont="1" applyBorder="1"/>
    <xf numFmtId="168" fontId="0" fillId="0" borderId="20" xfId="0" applyNumberFormat="1" applyBorder="1"/>
    <xf numFmtId="0" fontId="0" fillId="0" borderId="20" xfId="0" applyBorder="1"/>
    <xf numFmtId="0" fontId="27" fillId="0" borderId="0" xfId="0" applyFont="1" applyAlignment="1">
      <alignment horizontal="center"/>
    </xf>
    <xf numFmtId="9" fontId="0" fillId="0" borderId="0" xfId="3" applyFont="1" applyBorder="1"/>
    <xf numFmtId="0" fontId="8" fillId="0" borderId="0" xfId="0" applyFont="1" applyBorder="1"/>
    <xf numFmtId="0" fontId="1" fillId="2" borderId="32" xfId="0" applyFont="1" applyFill="1" applyBorder="1"/>
    <xf numFmtId="0" fontId="28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170" fontId="0" fillId="0" borderId="10" xfId="1" applyNumberFormat="1" applyFont="1" applyBorder="1"/>
    <xf numFmtId="170" fontId="27" fillId="0" borderId="0" xfId="1" applyNumberFormat="1" applyFont="1" applyBorder="1" applyAlignment="1">
      <alignment horizontal="center"/>
    </xf>
    <xf numFmtId="169" fontId="0" fillId="0" borderId="0" xfId="1" applyNumberFormat="1" applyFont="1" applyBorder="1"/>
    <xf numFmtId="170" fontId="0" fillId="0" borderId="0" xfId="1" applyNumberFormat="1" applyFont="1" applyBorder="1"/>
    <xf numFmtId="170" fontId="0" fillId="0" borderId="12" xfId="1" applyNumberFormat="1" applyFont="1" applyBorder="1"/>
    <xf numFmtId="170" fontId="0" fillId="0" borderId="0" xfId="1" applyNumberFormat="1" applyFont="1"/>
    <xf numFmtId="0" fontId="1" fillId="0" borderId="10" xfId="0" applyFont="1" applyBorder="1" applyAlignment="1">
      <alignment horizontal="right"/>
    </xf>
    <xf numFmtId="165" fontId="0" fillId="0" borderId="0" xfId="1" applyFont="1" applyBorder="1"/>
    <xf numFmtId="169" fontId="0" fillId="0" borderId="0" xfId="0" applyNumberFormat="1" applyBorder="1"/>
    <xf numFmtId="1" fontId="0" fillId="0" borderId="12" xfId="0" applyNumberFormat="1" applyBorder="1"/>
    <xf numFmtId="0" fontId="1" fillId="0" borderId="13" xfId="0" applyFont="1" applyBorder="1" applyAlignment="1">
      <alignment horizontal="right"/>
    </xf>
    <xf numFmtId="169" fontId="0" fillId="0" borderId="14" xfId="0" applyNumberFormat="1" applyBorder="1"/>
    <xf numFmtId="169" fontId="0" fillId="0" borderId="22" xfId="0" applyNumberFormat="1" applyBorder="1"/>
    <xf numFmtId="168" fontId="0" fillId="0" borderId="12" xfId="0" applyNumberFormat="1" applyBorder="1"/>
    <xf numFmtId="170" fontId="0" fillId="0" borderId="29" xfId="1" applyNumberFormat="1" applyFont="1" applyBorder="1"/>
    <xf numFmtId="168" fontId="0" fillId="0" borderId="15" xfId="0" applyNumberFormat="1" applyBorder="1"/>
    <xf numFmtId="0" fontId="9" fillId="2" borderId="32" xfId="0" applyFont="1" applyFill="1" applyBorder="1"/>
    <xf numFmtId="168" fontId="0" fillId="0" borderId="7" xfId="0" applyNumberFormat="1" applyBorder="1"/>
    <xf numFmtId="0" fontId="8" fillId="0" borderId="1" xfId="0" applyFont="1" applyBorder="1" applyAlignment="1">
      <alignment wrapText="1"/>
    </xf>
    <xf numFmtId="1" fontId="0" fillId="0" borderId="0" xfId="0" applyNumberFormat="1"/>
    <xf numFmtId="166" fontId="0" fillId="0" borderId="1" xfId="1" applyNumberFormat="1" applyFont="1" applyBorder="1"/>
    <xf numFmtId="0" fontId="8" fillId="0" borderId="35" xfId="0" applyFont="1" applyBorder="1" applyAlignment="1">
      <alignment horizontal="center"/>
    </xf>
    <xf numFmtId="166" fontId="0" fillId="0" borderId="32" xfId="1" applyNumberFormat="1" applyFont="1" applyBorder="1"/>
    <xf numFmtId="166" fontId="0" fillId="0" borderId="24" xfId="1" applyNumberFormat="1" applyFont="1" applyBorder="1" applyAlignment="1">
      <alignment horizontal="center"/>
    </xf>
    <xf numFmtId="166" fontId="0" fillId="0" borderId="31" xfId="1" applyNumberFormat="1" applyFont="1" applyBorder="1" applyAlignment="1">
      <alignment horizontal="center"/>
    </xf>
    <xf numFmtId="0" fontId="0" fillId="0" borderId="25" xfId="0" applyBorder="1"/>
    <xf numFmtId="3" fontId="0" fillId="0" borderId="11" xfId="0" applyNumberFormat="1" applyBorder="1"/>
    <xf numFmtId="166" fontId="0" fillId="0" borderId="11" xfId="1" applyNumberFormat="1" applyFont="1" applyBorder="1"/>
    <xf numFmtId="166" fontId="0" fillId="0" borderId="25" xfId="1" applyNumberFormat="1" applyFont="1" applyBorder="1"/>
    <xf numFmtId="166" fontId="0" fillId="0" borderId="26" xfId="1" applyNumberFormat="1" applyFont="1" applyFill="1" applyBorder="1"/>
    <xf numFmtId="166" fontId="0" fillId="0" borderId="20" xfId="1" applyNumberFormat="1" applyFont="1" applyBorder="1"/>
    <xf numFmtId="166" fontId="0" fillId="0" borderId="21" xfId="1" applyNumberFormat="1" applyFont="1" applyBorder="1"/>
    <xf numFmtId="166" fontId="0" fillId="0" borderId="25" xfId="1" applyNumberFormat="1" applyFont="1" applyBorder="1" applyAlignment="1">
      <alignment horizontal="left"/>
    </xf>
    <xf numFmtId="166" fontId="0" fillId="0" borderId="26" xfId="1" applyNumberFormat="1" applyFont="1" applyFill="1" applyBorder="1" applyAlignment="1">
      <alignment horizontal="left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/>
    <xf numFmtId="0" fontId="8" fillId="0" borderId="36" xfId="0" applyFont="1" applyBorder="1"/>
    <xf numFmtId="0" fontId="8" fillId="0" borderId="37" xfId="0" applyFont="1" applyFill="1" applyBorder="1" applyAlignment="1">
      <alignment horizontal="center"/>
    </xf>
    <xf numFmtId="0" fontId="8" fillId="0" borderId="24" xfId="0" applyFont="1" applyBorder="1" applyAlignment="1">
      <alignment wrapText="1"/>
    </xf>
    <xf numFmtId="0" fontId="8" fillId="0" borderId="38" xfId="0" applyFont="1" applyFill="1" applyBorder="1" applyAlignment="1">
      <alignment horizontal="center"/>
    </xf>
    <xf numFmtId="166" fontId="0" fillId="0" borderId="16" xfId="1" applyNumberFormat="1" applyFont="1" applyBorder="1" applyAlignment="1">
      <alignment horizontal="center"/>
    </xf>
    <xf numFmtId="3" fontId="0" fillId="0" borderId="39" xfId="0" applyNumberFormat="1" applyBorder="1"/>
    <xf numFmtId="166" fontId="0" fillId="0" borderId="39" xfId="1" applyNumberFormat="1" applyFont="1" applyBorder="1"/>
    <xf numFmtId="166" fontId="0" fillId="0" borderId="40" xfId="1" applyNumberFormat="1" applyFont="1" applyBorder="1"/>
    <xf numFmtId="0" fontId="0" fillId="0" borderId="0" xfId="0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5" fillId="2" borderId="16" xfId="0" applyFont="1" applyFill="1" applyBorder="1" applyAlignment="1">
      <alignment horizontal="left"/>
    </xf>
    <xf numFmtId="0" fontId="15" fillId="2" borderId="17" xfId="0" applyFont="1" applyFill="1" applyBorder="1" applyAlignment="1">
      <alignment horizontal="left"/>
    </xf>
    <xf numFmtId="0" fontId="18" fillId="2" borderId="16" xfId="0" applyFont="1" applyFill="1" applyBorder="1" applyAlignment="1">
      <alignment horizontal="left"/>
    </xf>
    <xf numFmtId="0" fontId="18" fillId="2" borderId="17" xfId="0" applyFont="1" applyFill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1" fillId="2" borderId="9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/>
    </xf>
    <xf numFmtId="0" fontId="24" fillId="2" borderId="16" xfId="0" applyFont="1" applyFill="1" applyBorder="1" applyAlignment="1">
      <alignment horizontal="left"/>
    </xf>
    <xf numFmtId="0" fontId="24" fillId="2" borderId="17" xfId="0" applyFont="1" applyFill="1" applyBorder="1" applyAlignment="1">
      <alignment horizontal="left"/>
    </xf>
    <xf numFmtId="0" fontId="8" fillId="0" borderId="23" xfId="0" applyFont="1" applyBorder="1" applyAlignment="1">
      <alignment horizontal="center" textRotation="255" wrapText="1"/>
    </xf>
    <xf numFmtId="0" fontId="8" fillId="0" borderId="29" xfId="0" applyFont="1" applyBorder="1" applyAlignment="1">
      <alignment horizontal="center" textRotation="255" wrapText="1"/>
    </xf>
    <xf numFmtId="0" fontId="8" fillId="0" borderId="28" xfId="0" applyFont="1" applyBorder="1" applyAlignment="1">
      <alignment horizontal="center" textRotation="255" wrapText="1"/>
    </xf>
    <xf numFmtId="0" fontId="27" fillId="0" borderId="0" xfId="0" applyFont="1" applyAlignment="1">
      <alignment horizontal="center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29" fillId="0" borderId="34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8" fillId="0" borderId="33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colors>
    <mruColors>
      <color rgb="FF9EB9F0"/>
      <color rgb="FFCAEEEE"/>
      <color rgb="FFBEF0C4"/>
      <color rgb="FFFBD1AF"/>
      <color rgb="FFE1CAEC"/>
      <color rgb="FFFDC3F9"/>
      <color rgb="FF00FFFF"/>
      <color rgb="FF00CC00"/>
      <color rgb="FFFF9900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>
                <a:solidFill>
                  <a:schemeClr val="bg2">
                    <a:lumMod val="25000"/>
                  </a:schemeClr>
                </a:solidFill>
              </a:defRPr>
            </a:pPr>
            <a:r>
              <a:rPr lang="en-US">
                <a:solidFill>
                  <a:schemeClr val="bg2">
                    <a:lumMod val="25000"/>
                  </a:schemeClr>
                </a:solidFill>
              </a:rPr>
              <a:t>BONBOMBUM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PROYECCIONES!$B$3:$B$14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PROYECCIONES!$C$3:$C$14</c:f>
              <c:numCache>
                <c:formatCode>#,##0;[Red]#,##0</c:formatCode>
                <c:ptCount val="12"/>
                <c:pt idx="0">
                  <c:v>120000</c:v>
                </c:pt>
                <c:pt idx="1">
                  <c:v>129120.00000000001</c:v>
                </c:pt>
                <c:pt idx="2">
                  <c:v>116040</c:v>
                </c:pt>
                <c:pt idx="3">
                  <c:v>145001.76</c:v>
                </c:pt>
                <c:pt idx="4">
                  <c:v>132218.88</c:v>
                </c:pt>
                <c:pt idx="5">
                  <c:v>106907.652</c:v>
                </c:pt>
                <c:pt idx="6">
                  <c:v>156558.40027200003</c:v>
                </c:pt>
                <c:pt idx="7">
                  <c:v>150163.82265600003</c:v>
                </c:pt>
                <c:pt idx="8">
                  <c:v>117978.906624</c:v>
                </c:pt>
                <c:pt idx="9">
                  <c:v>105132.98497680001</c:v>
                </c:pt>
                <c:pt idx="10">
                  <c:v>151126.17984</c:v>
                </c:pt>
                <c:pt idx="11">
                  <c:v>193193.06593564805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479232"/>
        <c:axId val="86480768"/>
      </c:lineChart>
      <c:catAx>
        <c:axId val="86479232"/>
        <c:scaling>
          <c:orientation val="minMax"/>
        </c:scaling>
        <c:delete val="0"/>
        <c:axPos val="b"/>
        <c:majorTickMark val="out"/>
        <c:minorTickMark val="none"/>
        <c:tickLblPos val="nextTo"/>
        <c:crossAx val="86480768"/>
        <c:crosses val="autoZero"/>
        <c:auto val="1"/>
        <c:lblAlgn val="ctr"/>
        <c:lblOffset val="100"/>
        <c:noMultiLvlLbl val="0"/>
      </c:catAx>
      <c:valAx>
        <c:axId val="86480768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6479232"/>
        <c:crosses val="autoZero"/>
        <c:crossBetween val="between"/>
      </c:valAx>
      <c:spPr>
        <a:solidFill>
          <a:srgbClr val="FDC3F9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080E3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0"/>
    </mc:Choice>
    <mc:Fallback>
      <c:style val="30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n-US">
                <a:solidFill>
                  <a:srgbClr val="FFFF00"/>
                </a:solidFill>
              </a:rPr>
              <a:t>BONBOMBOM SIN RELLENO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PROYECCIONES!$F$3:$F$14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PROYECCIONES!$G$3:$G$14</c:f>
              <c:numCache>
                <c:formatCode>#,##0;[Red]#,##0</c:formatCode>
                <c:ptCount val="12"/>
                <c:pt idx="0">
                  <c:v>83500</c:v>
                </c:pt>
                <c:pt idx="1">
                  <c:v>89846</c:v>
                </c:pt>
                <c:pt idx="2">
                  <c:v>80744.5</c:v>
                </c:pt>
                <c:pt idx="3">
                  <c:v>100897.058</c:v>
                </c:pt>
                <c:pt idx="4">
                  <c:v>92002.304000000004</c:v>
                </c:pt>
                <c:pt idx="5">
                  <c:v>74389.907850000003</c:v>
                </c:pt>
                <c:pt idx="6">
                  <c:v>108938.55352260002</c:v>
                </c:pt>
                <c:pt idx="7">
                  <c:v>104488.99326480001</c:v>
                </c:pt>
                <c:pt idx="8">
                  <c:v>82093.655859200007</c:v>
                </c:pt>
                <c:pt idx="9">
                  <c:v>73155.035379690002</c:v>
                </c:pt>
                <c:pt idx="10">
                  <c:v>105158.633472</c:v>
                </c:pt>
                <c:pt idx="11">
                  <c:v>134430.17504688841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870720"/>
        <c:axId val="89872256"/>
      </c:lineChart>
      <c:catAx>
        <c:axId val="89870720"/>
        <c:scaling>
          <c:orientation val="minMax"/>
        </c:scaling>
        <c:delete val="0"/>
        <c:axPos val="b"/>
        <c:majorTickMark val="out"/>
        <c:minorTickMark val="none"/>
        <c:tickLblPos val="nextTo"/>
        <c:crossAx val="89872256"/>
        <c:crosses val="autoZero"/>
        <c:auto val="1"/>
        <c:lblAlgn val="ctr"/>
        <c:lblOffset val="100"/>
        <c:noMultiLvlLbl val="0"/>
      </c:catAx>
      <c:valAx>
        <c:axId val="89872256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9870720"/>
        <c:crosses val="autoZero"/>
        <c:crossBetween val="between"/>
      </c:valAx>
      <c:spPr>
        <a:solidFill>
          <a:srgbClr val="E1CAEC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9900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2"/>
    </mc:Choice>
    <mc:Fallback>
      <c:style val="32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POLVOS</a:t>
            </a:r>
            <a:r>
              <a:rPr lang="es-ES" baseline="0">
                <a:solidFill>
                  <a:schemeClr val="tx1"/>
                </a:solidFill>
              </a:rPr>
              <a:t> AZUCARADOS</a:t>
            </a:r>
            <a:endParaRPr lang="es-ES">
              <a:solidFill>
                <a:schemeClr val="tx1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PROYECCIONES!$J$2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PROYECCIONES!$J$3:$J$14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PROYECCIONES!$K$2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PROYECCIONES!$K$3:$K$14</c:f>
              <c:numCache>
                <c:formatCode>#,##0;[Red]#,##0</c:formatCode>
                <c:ptCount val="12"/>
                <c:pt idx="0">
                  <c:v>25000</c:v>
                </c:pt>
                <c:pt idx="1">
                  <c:v>26900</c:v>
                </c:pt>
                <c:pt idx="2">
                  <c:v>24175</c:v>
                </c:pt>
                <c:pt idx="3">
                  <c:v>30208.7</c:v>
                </c:pt>
                <c:pt idx="4">
                  <c:v>27545.600000000002</c:v>
                </c:pt>
                <c:pt idx="5">
                  <c:v>22272.427500000002</c:v>
                </c:pt>
                <c:pt idx="6">
                  <c:v>32616.333390000003</c:v>
                </c:pt>
                <c:pt idx="7">
                  <c:v>31284.129720000004</c:v>
                </c:pt>
                <c:pt idx="8">
                  <c:v>24578.938880000002</c:v>
                </c:pt>
                <c:pt idx="9">
                  <c:v>21902.705203500002</c:v>
                </c:pt>
                <c:pt idx="10">
                  <c:v>31484.620800000004</c:v>
                </c:pt>
                <c:pt idx="11">
                  <c:v>40248.555403260005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907584"/>
        <c:axId val="89909120"/>
      </c:lineChart>
      <c:catAx>
        <c:axId val="89907584"/>
        <c:scaling>
          <c:orientation val="minMax"/>
        </c:scaling>
        <c:delete val="0"/>
        <c:axPos val="b"/>
        <c:majorTickMark val="out"/>
        <c:minorTickMark val="none"/>
        <c:tickLblPos val="nextTo"/>
        <c:crossAx val="89909120"/>
        <c:crosses val="autoZero"/>
        <c:auto val="1"/>
        <c:lblAlgn val="ctr"/>
        <c:lblOffset val="100"/>
        <c:noMultiLvlLbl val="0"/>
      </c:catAx>
      <c:valAx>
        <c:axId val="89909120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89907584"/>
        <c:crosses val="autoZero"/>
        <c:crossBetween val="between"/>
      </c:valAx>
      <c:spPr>
        <a:solidFill>
          <a:srgbClr val="FBD1AF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99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9"/>
    </mc:Choice>
    <mc:Fallback>
      <c:style val="29"/>
    </mc:Fallback>
  </mc:AlternateContent>
  <c:chart>
    <c:title>
      <c:tx>
        <c:rich>
          <a:bodyPr/>
          <a:lstStyle/>
          <a:p>
            <a:pPr>
              <a:defRPr>
                <a:solidFill>
                  <a:srgbClr val="FFFF00"/>
                </a:solidFill>
              </a:defRPr>
            </a:pPr>
            <a:r>
              <a:rPr lang="es-ES">
                <a:solidFill>
                  <a:srgbClr val="FFFF00"/>
                </a:solidFill>
              </a:rPr>
              <a:t>DULCE</a:t>
            </a:r>
            <a:r>
              <a:rPr lang="es-ES" baseline="0">
                <a:solidFill>
                  <a:srgbClr val="FFFF00"/>
                </a:solidFill>
              </a:rPr>
              <a:t> FRUTICAS</a:t>
            </a:r>
            <a:endParaRPr lang="es-ES">
              <a:solidFill>
                <a:srgbClr val="FFFF00"/>
              </a:solidFill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PROYECCIONES!$B$19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PROYECCIONES!$B$20:$B$31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PROYECCIONES!$C$19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PROYECCIONES!$C$20:$C$31</c:f>
              <c:numCache>
                <c:formatCode>#,##0;[Red]#,##0</c:formatCode>
                <c:ptCount val="12"/>
                <c:pt idx="0">
                  <c:v>46800</c:v>
                </c:pt>
                <c:pt idx="1">
                  <c:v>50356.800000000003</c:v>
                </c:pt>
                <c:pt idx="2">
                  <c:v>45255.6</c:v>
                </c:pt>
                <c:pt idx="3">
                  <c:v>56550.686400000006</c:v>
                </c:pt>
                <c:pt idx="4">
                  <c:v>51565.363200000007</c:v>
                </c:pt>
                <c:pt idx="5">
                  <c:v>41693.984279999997</c:v>
                </c:pt>
                <c:pt idx="6">
                  <c:v>61057.776106080011</c:v>
                </c:pt>
                <c:pt idx="7">
                  <c:v>58563.890835840008</c:v>
                </c:pt>
                <c:pt idx="8">
                  <c:v>46011.773583360002</c:v>
                </c:pt>
                <c:pt idx="9">
                  <c:v>41001.864140951999</c:v>
                </c:pt>
                <c:pt idx="10">
                  <c:v>58939.210137600006</c:v>
                </c:pt>
                <c:pt idx="11">
                  <c:v>75345.295714902735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99296"/>
        <c:axId val="98600832"/>
      </c:lineChart>
      <c:catAx>
        <c:axId val="98599296"/>
        <c:scaling>
          <c:orientation val="minMax"/>
        </c:scaling>
        <c:delete val="0"/>
        <c:axPos val="b"/>
        <c:majorTickMark val="out"/>
        <c:minorTickMark val="none"/>
        <c:tickLblPos val="nextTo"/>
        <c:crossAx val="98600832"/>
        <c:crosses val="autoZero"/>
        <c:auto val="1"/>
        <c:lblAlgn val="ctr"/>
        <c:lblOffset val="100"/>
        <c:noMultiLvlLbl val="0"/>
      </c:catAx>
      <c:valAx>
        <c:axId val="98600832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98599296"/>
        <c:crosses val="autoZero"/>
        <c:crossBetween val="between"/>
      </c:valAx>
      <c:spPr>
        <a:solidFill>
          <a:srgbClr val="BEF0C4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CC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>
                <a:solidFill>
                  <a:schemeClr val="tx1"/>
                </a:solidFill>
              </a:defRPr>
            </a:pPr>
            <a:r>
              <a:rPr lang="es-ES">
                <a:solidFill>
                  <a:schemeClr val="tx1"/>
                </a:solidFill>
              </a:rPr>
              <a:t>DULCES DUROS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PROYECCIONES!$F$19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PROYECCIONES!$F$20:$F$31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PROYECCIONES!$G$19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PROYECCIONES!$G$20:$G$31</c:f>
              <c:numCache>
                <c:formatCode>#,##0;[Red]#,##0</c:formatCode>
                <c:ptCount val="12"/>
                <c:pt idx="0">
                  <c:v>34680</c:v>
                </c:pt>
                <c:pt idx="1">
                  <c:v>37315.68</c:v>
                </c:pt>
                <c:pt idx="2">
                  <c:v>33535.56</c:v>
                </c:pt>
                <c:pt idx="3">
                  <c:v>41905.50864</c:v>
                </c:pt>
                <c:pt idx="4">
                  <c:v>38211.25632</c:v>
                </c:pt>
                <c:pt idx="5">
                  <c:v>30896.311427999997</c:v>
                </c:pt>
                <c:pt idx="6">
                  <c:v>45245.377678608005</c:v>
                </c:pt>
                <c:pt idx="7">
                  <c:v>43397.344747584</c:v>
                </c:pt>
                <c:pt idx="8">
                  <c:v>34095.904014335996</c:v>
                </c:pt>
                <c:pt idx="9">
                  <c:v>30383.432658295198</c:v>
                </c:pt>
                <c:pt idx="10">
                  <c:v>43675.465973760001</c:v>
                </c:pt>
                <c:pt idx="11">
                  <c:v>55832.796055402279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42176"/>
        <c:axId val="98656256"/>
      </c:lineChart>
      <c:catAx>
        <c:axId val="98642176"/>
        <c:scaling>
          <c:orientation val="minMax"/>
        </c:scaling>
        <c:delete val="0"/>
        <c:axPos val="b"/>
        <c:majorTickMark val="out"/>
        <c:minorTickMark val="none"/>
        <c:tickLblPos val="nextTo"/>
        <c:crossAx val="98656256"/>
        <c:crosses val="autoZero"/>
        <c:auto val="1"/>
        <c:lblAlgn val="ctr"/>
        <c:lblOffset val="100"/>
        <c:noMultiLvlLbl val="0"/>
      </c:catAx>
      <c:valAx>
        <c:axId val="98656256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98642176"/>
        <c:crosses val="autoZero"/>
        <c:crossBetween val="between"/>
      </c:valAx>
      <c:spPr>
        <a:solidFill>
          <a:srgbClr val="CAEEEE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00FFFF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3">
                    <a:lumMod val="50000"/>
                  </a:schemeClr>
                </a:solidFill>
              </a:defRPr>
            </a:pPr>
            <a:r>
              <a:rPr lang="es-ES">
                <a:solidFill>
                  <a:schemeClr val="accent3">
                    <a:lumMod val="50000"/>
                  </a:schemeClr>
                </a:solidFill>
              </a:rPr>
              <a:t>DULCES DE CAFE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PROYECCIONES!$J$19</c:f>
              <c:strCache>
                <c:ptCount val="1"/>
                <c:pt idx="0">
                  <c:v>X</c:v>
                </c:pt>
              </c:strCache>
            </c:strRef>
          </c:tx>
          <c:val>
            <c:numRef>
              <c:f>PROYECCIONES!$J$20:$J$31</c:f>
              <c:numCache>
                <c:formatCode>#,##0;[Red]#,##0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PROYECCIONES!$K$19</c:f>
              <c:strCache>
                <c:ptCount val="1"/>
                <c:pt idx="0">
                  <c:v>Y</c:v>
                </c:pt>
              </c:strCache>
            </c:strRef>
          </c:tx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val>
            <c:numRef>
              <c:f>PROYECCIONES!$K$20:$K$31</c:f>
              <c:numCache>
                <c:formatCode>#,##0;[Red]#,##0</c:formatCode>
                <c:ptCount val="12"/>
                <c:pt idx="0">
                  <c:v>38789</c:v>
                </c:pt>
                <c:pt idx="1">
                  <c:v>41736.964</c:v>
                </c:pt>
                <c:pt idx="2">
                  <c:v>37508.962999999996</c:v>
                </c:pt>
                <c:pt idx="3">
                  <c:v>46870.610571999998</c:v>
                </c:pt>
                <c:pt idx="4">
                  <c:v>42738.651136</c:v>
                </c:pt>
                <c:pt idx="5">
                  <c:v>34557.007611899993</c:v>
                </c:pt>
                <c:pt idx="6">
                  <c:v>50606.198234588403</c:v>
                </c:pt>
                <c:pt idx="7">
                  <c:v>48539.204308363202</c:v>
                </c:pt>
                <c:pt idx="8">
                  <c:v>38135.698408652803</c:v>
                </c:pt>
                <c:pt idx="9">
                  <c:v>33983.361285542458</c:v>
                </c:pt>
                <c:pt idx="10">
                  <c:v>48850.278248447998</c:v>
                </c:pt>
                <c:pt idx="11">
                  <c:v>62448.048621482085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95424"/>
        <c:axId val="98770944"/>
      </c:lineChart>
      <c:catAx>
        <c:axId val="98695424"/>
        <c:scaling>
          <c:orientation val="minMax"/>
        </c:scaling>
        <c:delete val="0"/>
        <c:axPos val="b"/>
        <c:majorTickMark val="out"/>
        <c:minorTickMark val="none"/>
        <c:tickLblPos val="nextTo"/>
        <c:crossAx val="98770944"/>
        <c:crosses val="autoZero"/>
        <c:auto val="1"/>
        <c:lblAlgn val="ctr"/>
        <c:lblOffset val="100"/>
        <c:noMultiLvlLbl val="0"/>
      </c:catAx>
      <c:valAx>
        <c:axId val="98770944"/>
        <c:scaling>
          <c:orientation val="minMax"/>
        </c:scaling>
        <c:delete val="0"/>
        <c:axPos val="l"/>
        <c:majorGridlines/>
        <c:numFmt formatCode="#,##0;[Red]#,##0" sourceLinked="1"/>
        <c:majorTickMark val="out"/>
        <c:minorTickMark val="none"/>
        <c:tickLblPos val="nextTo"/>
        <c:crossAx val="98695424"/>
        <c:crosses val="autoZero"/>
        <c:crossBetween val="between"/>
      </c:valAx>
      <c:spPr>
        <a:solidFill>
          <a:srgbClr val="9EB9F0"/>
        </a:solidFill>
      </c:spPr>
    </c:plotArea>
    <c:legend>
      <c:legendPos val="r"/>
      <c:overlay val="0"/>
    </c:legend>
    <c:plotVisOnly val="1"/>
    <c:dispBlanksAs val="gap"/>
    <c:showDLblsOverMax val="0"/>
  </c:chart>
  <c:spPr>
    <a:solidFill>
      <a:srgbClr val="FF0000"/>
    </a:soli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</xdr:row>
      <xdr:rowOff>47625</xdr:rowOff>
    </xdr:from>
    <xdr:to>
      <xdr:col>6</xdr:col>
      <xdr:colOff>333375</xdr:colOff>
      <xdr:row>15</xdr:row>
      <xdr:rowOff>171450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12</xdr:col>
      <xdr:colOff>762000</xdr:colOff>
      <xdr:row>15</xdr:row>
      <xdr:rowOff>76200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1</xdr:row>
      <xdr:rowOff>0</xdr:rowOff>
    </xdr:from>
    <xdr:to>
      <xdr:col>20</xdr:col>
      <xdr:colOff>0</xdr:colOff>
      <xdr:row>15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352425</xdr:colOff>
      <xdr:row>18</xdr:row>
      <xdr:rowOff>95250</xdr:rowOff>
    </xdr:from>
    <xdr:to>
      <xdr:col>6</xdr:col>
      <xdr:colOff>352425</xdr:colOff>
      <xdr:row>32</xdr:row>
      <xdr:rowOff>171450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28575</xdr:colOff>
      <xdr:row>18</xdr:row>
      <xdr:rowOff>85725</xdr:rowOff>
    </xdr:from>
    <xdr:to>
      <xdr:col>13</xdr:col>
      <xdr:colOff>9525</xdr:colOff>
      <xdr:row>32</xdr:row>
      <xdr:rowOff>161925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0</xdr:colOff>
      <xdr:row>18</xdr:row>
      <xdr:rowOff>0</xdr:rowOff>
    </xdr:from>
    <xdr:to>
      <xdr:col>20</xdr:col>
      <xdr:colOff>0</xdr:colOff>
      <xdr:row>32</xdr:row>
      <xdr:rowOff>76200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B11" sqref="B11"/>
    </sheetView>
  </sheetViews>
  <sheetFormatPr baseColWidth="10" defaultRowHeight="15" x14ac:dyDescent="0.25"/>
  <cols>
    <col min="2" max="2" width="36.7109375" bestFit="1" customWidth="1"/>
    <col min="3" max="3" width="15.140625" bestFit="1" customWidth="1"/>
    <col min="4" max="4" width="17.140625" style="18" customWidth="1"/>
    <col min="5" max="5" width="16.7109375" bestFit="1" customWidth="1"/>
    <col min="7" max="7" width="12.28515625" customWidth="1"/>
    <col min="8" max="8" width="14.7109375" style="13" customWidth="1"/>
  </cols>
  <sheetData>
    <row r="1" spans="1:8" s="2" customFormat="1" ht="15.75" thickBot="1" x14ac:dyDescent="0.3">
      <c r="D1" s="14"/>
      <c r="H1" s="9"/>
    </row>
    <row r="2" spans="1:8" ht="16.5" thickBot="1" x14ac:dyDescent="0.3">
      <c r="A2" s="219" t="s">
        <v>28</v>
      </c>
      <c r="B2" s="220"/>
      <c r="C2" s="220"/>
      <c r="D2" s="220"/>
      <c r="E2" s="220"/>
      <c r="F2" s="220"/>
      <c r="G2" s="220"/>
      <c r="H2" s="221"/>
    </row>
    <row r="3" spans="1:8" s="4" customFormat="1" ht="15.75" x14ac:dyDescent="0.25">
      <c r="A3" s="6"/>
      <c r="B3" s="6"/>
      <c r="C3" s="6"/>
      <c r="D3" s="15"/>
      <c r="E3" s="6"/>
      <c r="F3" s="6"/>
      <c r="G3" s="6"/>
      <c r="H3" s="10"/>
    </row>
    <row r="4" spans="1:8" s="1" customFormat="1" ht="25.5" x14ac:dyDescent="0.25">
      <c r="A4" s="20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0" t="s">
        <v>9</v>
      </c>
      <c r="H4" s="22" t="s">
        <v>10</v>
      </c>
    </row>
    <row r="5" spans="1:8" x14ac:dyDescent="0.25">
      <c r="A5" s="7"/>
      <c r="B5" s="7"/>
      <c r="C5" s="7"/>
      <c r="D5" s="16"/>
      <c r="E5" s="7"/>
      <c r="F5" s="7"/>
      <c r="G5" s="7"/>
      <c r="H5" s="11"/>
    </row>
    <row r="6" spans="1:8" x14ac:dyDescent="0.25">
      <c r="A6" s="23">
        <v>100001</v>
      </c>
      <c r="B6" s="24" t="s">
        <v>49</v>
      </c>
      <c r="C6" s="23"/>
      <c r="D6" s="31">
        <v>7702011012890</v>
      </c>
      <c r="E6" s="23" t="s">
        <v>8</v>
      </c>
      <c r="F6" s="32" t="s">
        <v>11</v>
      </c>
      <c r="G6" s="23" t="s">
        <v>120</v>
      </c>
      <c r="H6" s="33">
        <v>4910</v>
      </c>
    </row>
    <row r="7" spans="1:8" x14ac:dyDescent="0.25">
      <c r="A7" s="23">
        <f>+A6+1</f>
        <v>100002</v>
      </c>
      <c r="B7" s="24" t="s">
        <v>55</v>
      </c>
      <c r="C7" s="23"/>
      <c r="D7" s="34">
        <v>7702011011186</v>
      </c>
      <c r="E7" s="23" t="s">
        <v>8</v>
      </c>
      <c r="F7" s="32" t="s">
        <v>11</v>
      </c>
      <c r="G7" s="23" t="s">
        <v>120</v>
      </c>
      <c r="H7" s="33">
        <v>4910</v>
      </c>
    </row>
    <row r="8" spans="1:8" x14ac:dyDescent="0.25">
      <c r="A8" s="23">
        <f t="shared" ref="A8:A53" si="0">+A7+1</f>
        <v>100003</v>
      </c>
      <c r="B8" s="24" t="s">
        <v>48</v>
      </c>
      <c r="C8" s="23"/>
      <c r="D8" s="34">
        <v>7702354008604</v>
      </c>
      <c r="E8" s="23" t="s">
        <v>8</v>
      </c>
      <c r="F8" s="32" t="s">
        <v>11</v>
      </c>
      <c r="G8" s="23" t="s">
        <v>120</v>
      </c>
      <c r="H8" s="33">
        <v>6000</v>
      </c>
    </row>
    <row r="9" spans="1:8" x14ac:dyDescent="0.25">
      <c r="A9" s="23">
        <f t="shared" si="0"/>
        <v>100004</v>
      </c>
      <c r="B9" s="24" t="s">
        <v>56</v>
      </c>
      <c r="C9" s="21"/>
      <c r="D9" s="35">
        <v>7002011001719</v>
      </c>
      <c r="E9" s="23" t="s">
        <v>8</v>
      </c>
      <c r="F9" s="32" t="s">
        <v>11</v>
      </c>
      <c r="G9" s="23" t="s">
        <v>121</v>
      </c>
      <c r="H9" s="33">
        <v>5130</v>
      </c>
    </row>
    <row r="10" spans="1:8" x14ac:dyDescent="0.25">
      <c r="A10" s="23">
        <f t="shared" si="0"/>
        <v>100005</v>
      </c>
      <c r="B10" s="24" t="s">
        <v>6</v>
      </c>
      <c r="C10" s="23"/>
      <c r="D10" s="35">
        <v>7002011001672</v>
      </c>
      <c r="E10" s="23" t="s">
        <v>8</v>
      </c>
      <c r="F10" s="32" t="s">
        <v>11</v>
      </c>
      <c r="G10" s="23" t="s">
        <v>121</v>
      </c>
      <c r="H10" s="33">
        <v>8550</v>
      </c>
    </row>
    <row r="11" spans="1:8" x14ac:dyDescent="0.25">
      <c r="A11" s="23">
        <f t="shared" si="0"/>
        <v>100006</v>
      </c>
      <c r="B11" s="24" t="s">
        <v>122</v>
      </c>
      <c r="C11" s="23"/>
      <c r="D11" s="34">
        <v>7702011001764</v>
      </c>
      <c r="E11" s="23" t="s">
        <v>8</v>
      </c>
      <c r="F11" s="32" t="s">
        <v>11</v>
      </c>
      <c r="G11" s="23" t="s">
        <v>121</v>
      </c>
      <c r="H11" s="33">
        <v>10100</v>
      </c>
    </row>
    <row r="12" spans="1:8" x14ac:dyDescent="0.25">
      <c r="A12" s="23">
        <f t="shared" si="0"/>
        <v>100007</v>
      </c>
      <c r="B12" s="23" t="s">
        <v>12</v>
      </c>
      <c r="C12" s="23" t="s">
        <v>66</v>
      </c>
      <c r="D12" s="36" t="s">
        <v>71</v>
      </c>
      <c r="E12" s="23" t="s">
        <v>20</v>
      </c>
      <c r="F12" s="32" t="s">
        <v>11</v>
      </c>
      <c r="G12" s="32" t="s">
        <v>66</v>
      </c>
      <c r="H12" s="33">
        <v>2340</v>
      </c>
    </row>
    <row r="13" spans="1:8" x14ac:dyDescent="0.25">
      <c r="A13" s="23">
        <f t="shared" si="0"/>
        <v>100008</v>
      </c>
      <c r="B13" s="23" t="s">
        <v>13</v>
      </c>
      <c r="C13" s="23" t="s">
        <v>67</v>
      </c>
      <c r="D13" s="36" t="s">
        <v>72</v>
      </c>
      <c r="E13" s="23" t="s">
        <v>20</v>
      </c>
      <c r="F13" s="32" t="s">
        <v>11</v>
      </c>
      <c r="G13" s="32" t="s">
        <v>67</v>
      </c>
      <c r="H13" s="33">
        <v>2340</v>
      </c>
    </row>
    <row r="14" spans="1:8" x14ac:dyDescent="0.25">
      <c r="A14" s="23">
        <f t="shared" si="0"/>
        <v>100009</v>
      </c>
      <c r="B14" s="23" t="s">
        <v>14</v>
      </c>
      <c r="C14" s="23" t="s">
        <v>68</v>
      </c>
      <c r="D14" s="37"/>
      <c r="E14" s="23" t="s">
        <v>20</v>
      </c>
      <c r="F14" s="32" t="s">
        <v>11</v>
      </c>
      <c r="G14" s="32" t="s">
        <v>68</v>
      </c>
      <c r="H14" s="33">
        <v>2240</v>
      </c>
    </row>
    <row r="15" spans="1:8" x14ac:dyDescent="0.25">
      <c r="A15" s="23">
        <f t="shared" si="0"/>
        <v>100010</v>
      </c>
      <c r="B15" s="23" t="s">
        <v>15</v>
      </c>
      <c r="C15" s="23"/>
      <c r="D15" s="37"/>
      <c r="E15" s="23" t="s">
        <v>20</v>
      </c>
      <c r="F15" s="32" t="s">
        <v>11</v>
      </c>
      <c r="G15" s="32"/>
      <c r="H15" s="33"/>
    </row>
    <row r="16" spans="1:8" x14ac:dyDescent="0.25">
      <c r="A16" s="23">
        <f t="shared" si="0"/>
        <v>100011</v>
      </c>
      <c r="B16" s="23" t="s">
        <v>16</v>
      </c>
      <c r="C16" s="23" t="s">
        <v>68</v>
      </c>
      <c r="D16" s="36" t="s">
        <v>73</v>
      </c>
      <c r="E16" s="23" t="s">
        <v>20</v>
      </c>
      <c r="F16" s="32" t="s">
        <v>11</v>
      </c>
      <c r="G16" s="32" t="s">
        <v>68</v>
      </c>
      <c r="H16" s="33">
        <v>1260</v>
      </c>
    </row>
    <row r="17" spans="1:8" x14ac:dyDescent="0.25">
      <c r="A17" s="23">
        <f t="shared" si="0"/>
        <v>100012</v>
      </c>
      <c r="B17" s="23" t="s">
        <v>17</v>
      </c>
      <c r="C17" s="23" t="s">
        <v>69</v>
      </c>
      <c r="D17" s="36"/>
      <c r="E17" s="23" t="s">
        <v>20</v>
      </c>
      <c r="F17" s="32" t="s">
        <v>11</v>
      </c>
      <c r="G17" s="32" t="s">
        <v>69</v>
      </c>
      <c r="H17" s="33">
        <v>1260</v>
      </c>
    </row>
    <row r="18" spans="1:8" x14ac:dyDescent="0.25">
      <c r="A18" s="23">
        <f t="shared" si="0"/>
        <v>100013</v>
      </c>
      <c r="B18" s="23" t="s">
        <v>18</v>
      </c>
      <c r="C18" s="23" t="s">
        <v>69</v>
      </c>
      <c r="D18" s="36" t="s">
        <v>74</v>
      </c>
      <c r="E18" s="23" t="s">
        <v>20</v>
      </c>
      <c r="F18" s="32" t="s">
        <v>11</v>
      </c>
      <c r="G18" s="32" t="s">
        <v>69</v>
      </c>
      <c r="H18" s="33">
        <v>2710</v>
      </c>
    </row>
    <row r="19" spans="1:8" x14ac:dyDescent="0.25">
      <c r="A19" s="23">
        <f t="shared" si="0"/>
        <v>100014</v>
      </c>
      <c r="B19" s="23" t="s">
        <v>19</v>
      </c>
      <c r="C19" s="23" t="s">
        <v>70</v>
      </c>
      <c r="D19" s="36" t="s">
        <v>75</v>
      </c>
      <c r="E19" s="23" t="s">
        <v>20</v>
      </c>
      <c r="F19" s="32" t="s">
        <v>11</v>
      </c>
      <c r="G19" s="32" t="s">
        <v>70</v>
      </c>
      <c r="H19" s="33">
        <v>1480</v>
      </c>
    </row>
    <row r="20" spans="1:8" x14ac:dyDescent="0.25">
      <c r="A20" s="23">
        <f t="shared" si="0"/>
        <v>100015</v>
      </c>
      <c r="B20" s="26" t="s">
        <v>22</v>
      </c>
      <c r="C20" s="23">
        <v>1</v>
      </c>
      <c r="D20" s="31">
        <v>7702011012401</v>
      </c>
      <c r="E20" s="23" t="s">
        <v>21</v>
      </c>
      <c r="F20" s="32" t="s">
        <v>11</v>
      </c>
      <c r="G20" s="32" t="s">
        <v>90</v>
      </c>
      <c r="H20" s="33">
        <v>2360</v>
      </c>
    </row>
    <row r="21" spans="1:8" x14ac:dyDescent="0.25">
      <c r="A21" s="23">
        <f t="shared" si="0"/>
        <v>100016</v>
      </c>
      <c r="B21" s="26" t="s">
        <v>23</v>
      </c>
      <c r="C21" s="23">
        <v>1</v>
      </c>
      <c r="D21" s="37"/>
      <c r="E21" s="23" t="s">
        <v>21</v>
      </c>
      <c r="F21" s="32" t="s">
        <v>11</v>
      </c>
      <c r="G21" s="32"/>
      <c r="H21" s="33"/>
    </row>
    <row r="22" spans="1:8" x14ac:dyDescent="0.25">
      <c r="A22" s="23">
        <f t="shared" si="0"/>
        <v>100017</v>
      </c>
      <c r="B22" s="26" t="s">
        <v>24</v>
      </c>
      <c r="C22" s="23">
        <v>1</v>
      </c>
      <c r="D22" s="34">
        <v>7702011039293</v>
      </c>
      <c r="E22" s="23" t="s">
        <v>21</v>
      </c>
      <c r="F22" s="32" t="s">
        <v>11</v>
      </c>
      <c r="G22" s="32" t="s">
        <v>91</v>
      </c>
      <c r="H22" s="33">
        <v>3590</v>
      </c>
    </row>
    <row r="23" spans="1:8" x14ac:dyDescent="0.25">
      <c r="A23" s="23">
        <f t="shared" si="0"/>
        <v>100018</v>
      </c>
      <c r="B23" s="26" t="s">
        <v>25</v>
      </c>
      <c r="C23" s="23">
        <v>1</v>
      </c>
      <c r="D23" s="34">
        <v>7702011013828</v>
      </c>
      <c r="E23" s="23" t="s">
        <v>21</v>
      </c>
      <c r="F23" s="32" t="s">
        <v>11</v>
      </c>
      <c r="G23" s="32" t="s">
        <v>92</v>
      </c>
      <c r="H23" s="33">
        <v>12330</v>
      </c>
    </row>
    <row r="24" spans="1:8" x14ac:dyDescent="0.25">
      <c r="A24" s="23">
        <f t="shared" si="0"/>
        <v>100019</v>
      </c>
      <c r="B24" s="26" t="s">
        <v>26</v>
      </c>
      <c r="C24" s="23">
        <v>1</v>
      </c>
      <c r="D24" s="34">
        <v>7707211630912</v>
      </c>
      <c r="E24" s="23" t="s">
        <v>21</v>
      </c>
      <c r="F24" s="32" t="s">
        <v>11</v>
      </c>
      <c r="G24" s="32" t="s">
        <v>93</v>
      </c>
      <c r="H24" s="33">
        <v>7480</v>
      </c>
    </row>
    <row r="25" spans="1:8" x14ac:dyDescent="0.25">
      <c r="A25" s="23">
        <f t="shared" si="0"/>
        <v>100020</v>
      </c>
      <c r="B25" s="26" t="s">
        <v>27</v>
      </c>
      <c r="C25" s="23"/>
      <c r="D25" s="37"/>
      <c r="E25" s="23" t="s">
        <v>21</v>
      </c>
      <c r="F25" s="32" t="s">
        <v>11</v>
      </c>
      <c r="G25" s="23"/>
      <c r="H25" s="33"/>
    </row>
    <row r="26" spans="1:8" x14ac:dyDescent="0.25">
      <c r="A26" s="23">
        <f t="shared" si="0"/>
        <v>100021</v>
      </c>
      <c r="B26" s="24" t="s">
        <v>77</v>
      </c>
      <c r="C26" s="23" t="s">
        <v>78</v>
      </c>
      <c r="D26" s="38">
        <v>722008504914</v>
      </c>
      <c r="E26" s="23" t="s">
        <v>88</v>
      </c>
      <c r="F26" s="32" t="s">
        <v>11</v>
      </c>
      <c r="G26" s="23"/>
      <c r="H26" s="33"/>
    </row>
    <row r="27" spans="1:8" x14ac:dyDescent="0.25">
      <c r="A27" s="23">
        <f t="shared" si="0"/>
        <v>100022</v>
      </c>
      <c r="B27" s="24" t="s">
        <v>38</v>
      </c>
      <c r="C27" s="23" t="s">
        <v>79</v>
      </c>
      <c r="D27" s="37"/>
      <c r="E27" s="23" t="s">
        <v>88</v>
      </c>
      <c r="F27" s="32" t="s">
        <v>11</v>
      </c>
      <c r="G27" s="23"/>
      <c r="H27" s="33"/>
    </row>
    <row r="28" spans="1:8" x14ac:dyDescent="0.25">
      <c r="A28" s="23">
        <f t="shared" si="0"/>
        <v>100023</v>
      </c>
      <c r="B28" s="24" t="s">
        <v>76</v>
      </c>
      <c r="C28" s="23" t="s">
        <v>80</v>
      </c>
      <c r="D28" s="34">
        <v>722008000317</v>
      </c>
      <c r="E28" s="23" t="s">
        <v>88</v>
      </c>
      <c r="F28" s="32" t="s">
        <v>11</v>
      </c>
      <c r="G28" s="23"/>
      <c r="H28" s="33"/>
    </row>
    <row r="29" spans="1:8" x14ac:dyDescent="0.25">
      <c r="A29" s="23">
        <f t="shared" si="0"/>
        <v>100024</v>
      </c>
      <c r="B29" s="27" t="s">
        <v>39</v>
      </c>
      <c r="C29" s="23" t="s">
        <v>81</v>
      </c>
      <c r="D29" s="34">
        <v>7702367000022</v>
      </c>
      <c r="E29" s="23" t="s">
        <v>88</v>
      </c>
      <c r="F29" s="32" t="s">
        <v>11</v>
      </c>
      <c r="G29" s="23"/>
      <c r="H29" s="33"/>
    </row>
    <row r="30" spans="1:8" x14ac:dyDescent="0.25">
      <c r="A30" s="23">
        <f t="shared" si="0"/>
        <v>100025</v>
      </c>
      <c r="B30" s="27" t="s">
        <v>40</v>
      </c>
      <c r="C30" s="23" t="s">
        <v>82</v>
      </c>
      <c r="D30" s="34">
        <v>7702367000763</v>
      </c>
      <c r="E30" s="23" t="s">
        <v>88</v>
      </c>
      <c r="F30" s="32" t="s">
        <v>11</v>
      </c>
      <c r="G30" s="23"/>
      <c r="H30" s="33"/>
    </row>
    <row r="31" spans="1:8" x14ac:dyDescent="0.25">
      <c r="A31" s="23">
        <f t="shared" si="0"/>
        <v>100026</v>
      </c>
      <c r="B31" s="27" t="s">
        <v>41</v>
      </c>
      <c r="C31" s="23" t="s">
        <v>81</v>
      </c>
      <c r="D31" s="34">
        <v>770236000015</v>
      </c>
      <c r="E31" s="23" t="s">
        <v>88</v>
      </c>
      <c r="F31" s="32" t="s">
        <v>11</v>
      </c>
      <c r="G31" s="23"/>
      <c r="H31" s="33"/>
    </row>
    <row r="32" spans="1:8" x14ac:dyDescent="0.25">
      <c r="A32" s="23">
        <f t="shared" si="0"/>
        <v>100027</v>
      </c>
      <c r="B32" s="27" t="s">
        <v>42</v>
      </c>
      <c r="C32" s="23" t="s">
        <v>82</v>
      </c>
      <c r="D32" s="37"/>
      <c r="E32" s="23" t="s">
        <v>88</v>
      </c>
      <c r="F32" s="32" t="s">
        <v>11</v>
      </c>
      <c r="G32" s="23"/>
      <c r="H32" s="33"/>
    </row>
    <row r="33" spans="1:8" x14ac:dyDescent="0.25">
      <c r="A33" s="23">
        <f t="shared" si="0"/>
        <v>100028</v>
      </c>
      <c r="B33" s="27" t="s">
        <v>43</v>
      </c>
      <c r="C33" s="23" t="s">
        <v>83</v>
      </c>
      <c r="D33" s="37"/>
      <c r="E33" s="23" t="s">
        <v>89</v>
      </c>
      <c r="F33" s="32" t="s">
        <v>11</v>
      </c>
      <c r="G33" s="23"/>
      <c r="H33" s="33"/>
    </row>
    <row r="34" spans="1:8" x14ac:dyDescent="0.25">
      <c r="A34" s="23">
        <f t="shared" si="0"/>
        <v>100029</v>
      </c>
      <c r="B34" s="27" t="s">
        <v>44</v>
      </c>
      <c r="C34" s="23" t="s">
        <v>84</v>
      </c>
      <c r="D34" s="34">
        <v>7702097066497</v>
      </c>
      <c r="E34" s="23" t="s">
        <v>89</v>
      </c>
      <c r="F34" s="32" t="s">
        <v>11</v>
      </c>
      <c r="G34" s="24"/>
      <c r="H34" s="39"/>
    </row>
    <row r="35" spans="1:8" x14ac:dyDescent="0.25">
      <c r="A35" s="23">
        <f t="shared" si="0"/>
        <v>100030</v>
      </c>
      <c r="B35" s="27" t="s">
        <v>45</v>
      </c>
      <c r="C35" s="24" t="s">
        <v>85</v>
      </c>
      <c r="D35" s="34">
        <v>7702097066503</v>
      </c>
      <c r="E35" s="23" t="s">
        <v>89</v>
      </c>
      <c r="F35" s="32" t="s">
        <v>11</v>
      </c>
      <c r="G35" s="24"/>
      <c r="H35" s="39"/>
    </row>
    <row r="36" spans="1:8" x14ac:dyDescent="0.25">
      <c r="A36" s="23">
        <f t="shared" si="0"/>
        <v>100031</v>
      </c>
      <c r="B36" s="27" t="s">
        <v>46</v>
      </c>
      <c r="C36" s="24" t="s">
        <v>86</v>
      </c>
      <c r="D36" s="36"/>
      <c r="E36" s="23" t="s">
        <v>89</v>
      </c>
      <c r="F36" s="32" t="s">
        <v>11</v>
      </c>
      <c r="G36" s="24"/>
      <c r="H36" s="39"/>
    </row>
    <row r="37" spans="1:8" x14ac:dyDescent="0.25">
      <c r="A37" s="23">
        <f t="shared" si="0"/>
        <v>100032</v>
      </c>
      <c r="B37" s="27" t="s">
        <v>47</v>
      </c>
      <c r="C37" s="24" t="s">
        <v>87</v>
      </c>
      <c r="D37" s="34">
        <v>7702097066558</v>
      </c>
      <c r="E37" s="23" t="s">
        <v>89</v>
      </c>
      <c r="F37" s="32" t="s">
        <v>11</v>
      </c>
      <c r="G37" s="24"/>
      <c r="H37" s="39"/>
    </row>
    <row r="38" spans="1:8" x14ac:dyDescent="0.25">
      <c r="A38" s="23">
        <f t="shared" si="0"/>
        <v>100033</v>
      </c>
      <c r="B38" s="28" t="s">
        <v>29</v>
      </c>
      <c r="C38" s="24"/>
      <c r="D38" s="36"/>
      <c r="E38" s="24" t="s">
        <v>37</v>
      </c>
      <c r="F38" s="32" t="s">
        <v>11</v>
      </c>
      <c r="G38" s="40" t="s">
        <v>58</v>
      </c>
      <c r="H38" s="39">
        <v>1910</v>
      </c>
    </row>
    <row r="39" spans="1:8" x14ac:dyDescent="0.25">
      <c r="A39" s="23">
        <f t="shared" si="0"/>
        <v>100034</v>
      </c>
      <c r="B39" s="29" t="s">
        <v>30</v>
      </c>
      <c r="C39" s="24"/>
      <c r="D39" s="36"/>
      <c r="E39" s="24" t="s">
        <v>37</v>
      </c>
      <c r="F39" s="32" t="s">
        <v>11</v>
      </c>
      <c r="G39" s="40" t="s">
        <v>59</v>
      </c>
      <c r="H39" s="39">
        <v>2170</v>
      </c>
    </row>
    <row r="40" spans="1:8" x14ac:dyDescent="0.25">
      <c r="A40" s="23">
        <f t="shared" si="0"/>
        <v>100035</v>
      </c>
      <c r="B40" s="29" t="s">
        <v>31</v>
      </c>
      <c r="C40" s="24"/>
      <c r="D40" s="36"/>
      <c r="E40" s="24" t="s">
        <v>37</v>
      </c>
      <c r="F40" s="32" t="s">
        <v>11</v>
      </c>
      <c r="G40" s="40" t="s">
        <v>60</v>
      </c>
      <c r="H40" s="39">
        <v>1670</v>
      </c>
    </row>
    <row r="41" spans="1:8" x14ac:dyDescent="0.25">
      <c r="A41" s="23">
        <f t="shared" si="0"/>
        <v>100036</v>
      </c>
      <c r="B41" s="29" t="s">
        <v>32</v>
      </c>
      <c r="C41" s="24"/>
      <c r="D41" s="36"/>
      <c r="E41" s="24" t="s">
        <v>37</v>
      </c>
      <c r="F41" s="32" t="s">
        <v>11</v>
      </c>
      <c r="G41" s="40" t="s">
        <v>61</v>
      </c>
      <c r="H41" s="39">
        <v>1020</v>
      </c>
    </row>
    <row r="42" spans="1:8" x14ac:dyDescent="0.25">
      <c r="A42" s="23">
        <f t="shared" si="0"/>
        <v>100037</v>
      </c>
      <c r="B42" s="29" t="s">
        <v>33</v>
      </c>
      <c r="C42" s="24"/>
      <c r="D42" s="36"/>
      <c r="E42" s="24" t="s">
        <v>37</v>
      </c>
      <c r="F42" s="32" t="s">
        <v>11</v>
      </c>
      <c r="G42" s="40" t="s">
        <v>62</v>
      </c>
      <c r="H42" s="39">
        <v>1430</v>
      </c>
    </row>
    <row r="43" spans="1:8" x14ac:dyDescent="0.25">
      <c r="A43" s="23">
        <f t="shared" si="0"/>
        <v>100038</v>
      </c>
      <c r="B43" s="29" t="s">
        <v>34</v>
      </c>
      <c r="C43" s="24"/>
      <c r="D43" s="36"/>
      <c r="E43" s="24" t="s">
        <v>37</v>
      </c>
      <c r="F43" s="32" t="s">
        <v>11</v>
      </c>
      <c r="G43" s="40" t="s">
        <v>63</v>
      </c>
      <c r="H43" s="39">
        <v>13260</v>
      </c>
    </row>
    <row r="44" spans="1:8" x14ac:dyDescent="0.25">
      <c r="A44" s="23">
        <f t="shared" si="0"/>
        <v>100039</v>
      </c>
      <c r="B44" s="29" t="s">
        <v>35</v>
      </c>
      <c r="C44" s="24"/>
      <c r="D44" s="36"/>
      <c r="E44" s="24" t="s">
        <v>37</v>
      </c>
      <c r="F44" s="32" t="s">
        <v>11</v>
      </c>
      <c r="G44" s="40" t="s">
        <v>64</v>
      </c>
      <c r="H44" s="39">
        <v>2840</v>
      </c>
    </row>
    <row r="45" spans="1:8" x14ac:dyDescent="0.25">
      <c r="A45" s="23">
        <f t="shared" si="0"/>
        <v>100040</v>
      </c>
      <c r="B45" s="29" t="s">
        <v>36</v>
      </c>
      <c r="C45" s="24"/>
      <c r="D45" s="36"/>
      <c r="E45" s="24" t="s">
        <v>37</v>
      </c>
      <c r="F45" s="32" t="s">
        <v>11</v>
      </c>
      <c r="G45" s="40" t="s">
        <v>65</v>
      </c>
      <c r="H45" s="39">
        <v>800</v>
      </c>
    </row>
    <row r="46" spans="1:8" x14ac:dyDescent="0.25">
      <c r="A46" s="23">
        <f t="shared" si="0"/>
        <v>100041</v>
      </c>
      <c r="B46" s="29" t="s">
        <v>50</v>
      </c>
      <c r="C46" s="30" t="s">
        <v>96</v>
      </c>
      <c r="D46" s="41">
        <v>702097032751</v>
      </c>
      <c r="E46" s="24" t="s">
        <v>57</v>
      </c>
      <c r="F46" s="32" t="s">
        <v>11</v>
      </c>
      <c r="G46" s="42" t="s">
        <v>102</v>
      </c>
      <c r="H46" s="43">
        <v>3440</v>
      </c>
    </row>
    <row r="47" spans="1:8" x14ac:dyDescent="0.25">
      <c r="A47" s="23">
        <f t="shared" si="0"/>
        <v>100042</v>
      </c>
      <c r="B47" s="29" t="s">
        <v>50</v>
      </c>
      <c r="C47" s="30" t="s">
        <v>97</v>
      </c>
      <c r="D47" s="41">
        <v>702097035424</v>
      </c>
      <c r="E47" s="24" t="s">
        <v>57</v>
      </c>
      <c r="F47" s="32" t="s">
        <v>11</v>
      </c>
      <c r="G47" s="42" t="s">
        <v>103</v>
      </c>
      <c r="H47" s="43">
        <v>2060</v>
      </c>
    </row>
    <row r="48" spans="1:8" x14ac:dyDescent="0.25">
      <c r="A48" s="23">
        <f t="shared" si="0"/>
        <v>100043</v>
      </c>
      <c r="B48" s="29" t="s">
        <v>51</v>
      </c>
      <c r="C48" s="30" t="s">
        <v>97</v>
      </c>
      <c r="D48" s="41">
        <v>702097038807</v>
      </c>
      <c r="E48" s="24" t="s">
        <v>57</v>
      </c>
      <c r="F48" s="32" t="s">
        <v>11</v>
      </c>
      <c r="G48" s="42" t="s">
        <v>103</v>
      </c>
      <c r="H48" s="43">
        <v>2810</v>
      </c>
    </row>
    <row r="49" spans="1:8" x14ac:dyDescent="0.25">
      <c r="A49" s="23">
        <f t="shared" si="0"/>
        <v>100044</v>
      </c>
      <c r="B49" s="29" t="s">
        <v>52</v>
      </c>
      <c r="C49" s="30" t="s">
        <v>98</v>
      </c>
      <c r="D49" s="41">
        <v>7020970370572</v>
      </c>
      <c r="E49" s="24" t="s">
        <v>57</v>
      </c>
      <c r="F49" s="32" t="s">
        <v>11</v>
      </c>
      <c r="G49" s="42" t="s">
        <v>104</v>
      </c>
      <c r="H49" s="43">
        <v>4140</v>
      </c>
    </row>
    <row r="50" spans="1:8" x14ac:dyDescent="0.25">
      <c r="A50" s="23">
        <f t="shared" si="0"/>
        <v>100045</v>
      </c>
      <c r="B50" s="29" t="s">
        <v>53</v>
      </c>
      <c r="C50" s="30" t="s">
        <v>99</v>
      </c>
      <c r="D50" s="41">
        <v>702097036643</v>
      </c>
      <c r="E50" s="24" t="s">
        <v>57</v>
      </c>
      <c r="F50" s="32" t="s">
        <v>11</v>
      </c>
      <c r="G50" s="42" t="s">
        <v>104</v>
      </c>
      <c r="H50" s="43">
        <v>2150</v>
      </c>
    </row>
    <row r="51" spans="1:8" x14ac:dyDescent="0.25">
      <c r="A51" s="23">
        <f t="shared" si="0"/>
        <v>100046</v>
      </c>
      <c r="B51" s="29" t="s">
        <v>54</v>
      </c>
      <c r="C51" s="30" t="s">
        <v>99</v>
      </c>
      <c r="D51" s="41">
        <v>702097036643</v>
      </c>
      <c r="E51" s="24" t="s">
        <v>57</v>
      </c>
      <c r="F51" s="32" t="s">
        <v>11</v>
      </c>
      <c r="G51" s="42" t="s">
        <v>104</v>
      </c>
      <c r="H51" s="43">
        <v>2150</v>
      </c>
    </row>
    <row r="52" spans="1:8" x14ac:dyDescent="0.25">
      <c r="A52" s="23">
        <f t="shared" si="0"/>
        <v>100047</v>
      </c>
      <c r="B52" s="29" t="s">
        <v>94</v>
      </c>
      <c r="C52" s="30" t="s">
        <v>100</v>
      </c>
      <c r="D52" s="41">
        <v>702097037244</v>
      </c>
      <c r="E52" s="24" t="s">
        <v>57</v>
      </c>
      <c r="F52" s="32" t="s">
        <v>11</v>
      </c>
      <c r="G52" s="44" t="s">
        <v>105</v>
      </c>
      <c r="H52" s="43">
        <v>4080</v>
      </c>
    </row>
    <row r="53" spans="1:8" x14ac:dyDescent="0.25">
      <c r="A53" s="23">
        <f t="shared" si="0"/>
        <v>100048</v>
      </c>
      <c r="B53" s="29" t="s">
        <v>95</v>
      </c>
      <c r="C53" s="30" t="s">
        <v>101</v>
      </c>
      <c r="D53" s="41">
        <v>702097035103</v>
      </c>
      <c r="E53" s="24" t="s">
        <v>57</v>
      </c>
      <c r="F53" s="32" t="s">
        <v>11</v>
      </c>
      <c r="G53" s="44" t="s">
        <v>106</v>
      </c>
      <c r="H53" s="43">
        <v>5560</v>
      </c>
    </row>
    <row r="54" spans="1:8" x14ac:dyDescent="0.25">
      <c r="A54" s="5"/>
      <c r="B54" s="7"/>
      <c r="C54" s="7"/>
      <c r="D54" s="16"/>
      <c r="E54" s="7"/>
      <c r="F54" s="5"/>
      <c r="G54" s="3"/>
      <c r="H54" s="12"/>
    </row>
    <row r="55" spans="1:8" x14ac:dyDescent="0.25">
      <c r="A55" s="3"/>
      <c r="B55" s="3"/>
      <c r="C55" s="3"/>
      <c r="D55" s="17"/>
      <c r="E55" s="3"/>
      <c r="F55" s="3"/>
      <c r="G55" s="3"/>
      <c r="H55" s="12"/>
    </row>
    <row r="56" spans="1:8" x14ac:dyDescent="0.25">
      <c r="A56" s="3"/>
      <c r="B56" s="3"/>
      <c r="C56" s="3"/>
      <c r="D56" s="17"/>
      <c r="E56" s="3"/>
      <c r="F56" s="3"/>
      <c r="G56" s="3"/>
      <c r="H56" s="12"/>
    </row>
    <row r="57" spans="1:8" x14ac:dyDescent="0.25">
      <c r="A57" s="3"/>
      <c r="B57" s="3"/>
      <c r="C57" s="3"/>
      <c r="D57" s="17"/>
      <c r="E57" s="3"/>
      <c r="F57" s="3"/>
      <c r="G57" s="3"/>
      <c r="H57" s="12"/>
    </row>
  </sheetData>
  <mergeCells count="1"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activeCell="E5" sqref="E5"/>
    </sheetView>
  </sheetViews>
  <sheetFormatPr baseColWidth="10" defaultRowHeight="15" x14ac:dyDescent="0.25"/>
  <cols>
    <col min="2" max="2" width="38.140625" bestFit="1" customWidth="1"/>
    <col min="3" max="3" width="14.7109375" customWidth="1"/>
    <col min="4" max="4" width="4" customWidth="1"/>
    <col min="5" max="17" width="11.42578125" style="13"/>
  </cols>
  <sheetData>
    <row r="1" spans="1:18" x14ac:dyDescent="0.25">
      <c r="D1" s="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x14ac:dyDescent="0.25">
      <c r="A2" s="20" t="s">
        <v>0</v>
      </c>
      <c r="B2" s="20" t="s">
        <v>1</v>
      </c>
      <c r="C2" s="20" t="s">
        <v>2</v>
      </c>
      <c r="D2" s="21"/>
      <c r="E2" s="22" t="s">
        <v>107</v>
      </c>
      <c r="F2" s="22" t="s">
        <v>108</v>
      </c>
      <c r="G2" s="22" t="s">
        <v>109</v>
      </c>
      <c r="H2" s="22" t="s">
        <v>110</v>
      </c>
      <c r="I2" s="22" t="s">
        <v>111</v>
      </c>
      <c r="J2" s="22" t="s">
        <v>112</v>
      </c>
      <c r="K2" s="22" t="s">
        <v>113</v>
      </c>
      <c r="L2" s="22" t="s">
        <v>114</v>
      </c>
      <c r="M2" s="22" t="s">
        <v>115</v>
      </c>
      <c r="N2" s="22" t="s">
        <v>116</v>
      </c>
      <c r="O2" s="22" t="s">
        <v>117</v>
      </c>
      <c r="P2" s="22" t="s">
        <v>118</v>
      </c>
      <c r="Q2" s="22" t="s">
        <v>119</v>
      </c>
      <c r="R2" s="8"/>
    </row>
    <row r="3" spans="1:18" s="4" customFormat="1" x14ac:dyDescent="0.25">
      <c r="A3" s="8"/>
      <c r="B3" s="8"/>
      <c r="C3" s="8"/>
      <c r="D3" s="3"/>
      <c r="E3" s="12"/>
      <c r="F3" s="19">
        <v>1.0760000000000001</v>
      </c>
      <c r="G3" s="19">
        <v>0.96699999999999997</v>
      </c>
      <c r="H3" s="19">
        <v>1.123</v>
      </c>
      <c r="I3" s="19">
        <v>1.024</v>
      </c>
      <c r="J3" s="19">
        <v>0.92130000000000001</v>
      </c>
      <c r="K3" s="19">
        <v>1.0797000000000001</v>
      </c>
      <c r="L3" s="19">
        <v>1.0356000000000001</v>
      </c>
      <c r="M3" s="19">
        <v>0.89229999999999998</v>
      </c>
      <c r="N3" s="19">
        <v>0.98340000000000005</v>
      </c>
      <c r="O3" s="19">
        <v>1.143</v>
      </c>
      <c r="P3" s="19">
        <v>1.234</v>
      </c>
      <c r="Q3" s="19"/>
    </row>
    <row r="4" spans="1:18" s="4" customFormat="1" x14ac:dyDescent="0.25">
      <c r="A4" s="8"/>
      <c r="B4" s="8"/>
      <c r="C4" s="8"/>
      <c r="D4" s="3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s="54" customFormat="1" x14ac:dyDescent="0.25">
      <c r="A5" s="51">
        <v>100001</v>
      </c>
      <c r="B5" s="51" t="s">
        <v>49</v>
      </c>
      <c r="C5" s="51"/>
      <c r="D5" s="52"/>
      <c r="E5" s="53">
        <v>120000</v>
      </c>
      <c r="F5" s="53">
        <f t="shared" ref="F5:F52" si="0">+E5*$F$3</f>
        <v>129120.00000000001</v>
      </c>
      <c r="G5" s="53">
        <f t="shared" ref="G5:G52" si="1">+E5*$G$3</f>
        <v>116040</v>
      </c>
      <c r="H5" s="53">
        <f t="shared" ref="H5:H52" si="2">+F5*$H$3</f>
        <v>145001.76</v>
      </c>
      <c r="I5" s="53">
        <f t="shared" ref="I5:I52" si="3">+F5*$I$3</f>
        <v>132218.88</v>
      </c>
      <c r="J5" s="53">
        <f t="shared" ref="J5:J52" si="4">+G5*$J$3</f>
        <v>106907.652</v>
      </c>
      <c r="K5" s="53">
        <f t="shared" ref="K5:K52" si="5">+H5*$K$3</f>
        <v>156558.40027200003</v>
      </c>
      <c r="L5" s="53">
        <f t="shared" ref="L5:L52" si="6">+H5*$L$3</f>
        <v>150163.82265600003</v>
      </c>
      <c r="M5" s="53">
        <f t="shared" ref="M5:M52" si="7">+I5*$M$3</f>
        <v>117978.906624</v>
      </c>
      <c r="N5" s="53">
        <f t="shared" ref="N5:N52" si="8">+J5*$N$3</f>
        <v>105132.98497680001</v>
      </c>
      <c r="O5" s="53">
        <f t="shared" ref="O5:O52" si="9">+I5*$O$3</f>
        <v>151126.17984</v>
      </c>
      <c r="P5" s="53">
        <f t="shared" ref="P5:P52" si="10">+K5*$P$3</f>
        <v>193193.06593564805</v>
      </c>
      <c r="Q5" s="53">
        <f>SUM(E5:P5)</f>
        <v>1623441.6523044482</v>
      </c>
    </row>
    <row r="6" spans="1:18" s="54" customFormat="1" x14ac:dyDescent="0.25">
      <c r="A6" s="51">
        <f>+A5+1</f>
        <v>100002</v>
      </c>
      <c r="B6" s="51" t="s">
        <v>55</v>
      </c>
      <c r="C6" s="51"/>
      <c r="D6" s="52"/>
      <c r="E6" s="53">
        <v>83500</v>
      </c>
      <c r="F6" s="53">
        <f t="shared" si="0"/>
        <v>89846</v>
      </c>
      <c r="G6" s="53">
        <f t="shared" si="1"/>
        <v>80744.5</v>
      </c>
      <c r="H6" s="53">
        <f t="shared" si="2"/>
        <v>100897.058</v>
      </c>
      <c r="I6" s="53">
        <f t="shared" si="3"/>
        <v>92002.304000000004</v>
      </c>
      <c r="J6" s="53">
        <f t="shared" si="4"/>
        <v>74389.907850000003</v>
      </c>
      <c r="K6" s="53">
        <f t="shared" si="5"/>
        <v>108938.55352260002</v>
      </c>
      <c r="L6" s="53">
        <f t="shared" si="6"/>
        <v>104488.99326480001</v>
      </c>
      <c r="M6" s="53">
        <f t="shared" si="7"/>
        <v>82093.655859200007</v>
      </c>
      <c r="N6" s="53">
        <f t="shared" si="8"/>
        <v>73155.035379690002</v>
      </c>
      <c r="O6" s="53">
        <f t="shared" si="9"/>
        <v>105158.633472</v>
      </c>
      <c r="P6" s="53">
        <f t="shared" si="10"/>
        <v>134430.17504688841</v>
      </c>
      <c r="Q6" s="53">
        <f t="shared" ref="Q6:Q52" si="11">SUM(E6:P6)</f>
        <v>1129644.8163951784</v>
      </c>
    </row>
    <row r="7" spans="1:18" s="54" customFormat="1" x14ac:dyDescent="0.25">
      <c r="A7" s="51">
        <f t="shared" ref="A7:A52" si="12">+A6+1</f>
        <v>100003</v>
      </c>
      <c r="B7" s="51" t="s">
        <v>48</v>
      </c>
      <c r="C7" s="51"/>
      <c r="D7" s="52"/>
      <c r="E7" s="53">
        <v>25000</v>
      </c>
      <c r="F7" s="53">
        <f t="shared" si="0"/>
        <v>26900</v>
      </c>
      <c r="G7" s="53">
        <f t="shared" si="1"/>
        <v>24175</v>
      </c>
      <c r="H7" s="53">
        <f t="shared" si="2"/>
        <v>30208.7</v>
      </c>
      <c r="I7" s="53">
        <f t="shared" si="3"/>
        <v>27545.600000000002</v>
      </c>
      <c r="J7" s="53">
        <f t="shared" si="4"/>
        <v>22272.427500000002</v>
      </c>
      <c r="K7" s="53">
        <f t="shared" si="5"/>
        <v>32616.333390000003</v>
      </c>
      <c r="L7" s="53">
        <f t="shared" si="6"/>
        <v>31284.129720000004</v>
      </c>
      <c r="M7" s="53">
        <f t="shared" si="7"/>
        <v>24578.938880000002</v>
      </c>
      <c r="N7" s="53">
        <f t="shared" si="8"/>
        <v>21902.705203500002</v>
      </c>
      <c r="O7" s="53">
        <f t="shared" si="9"/>
        <v>31484.620800000004</v>
      </c>
      <c r="P7" s="53">
        <f t="shared" si="10"/>
        <v>40248.555403260005</v>
      </c>
      <c r="Q7" s="53">
        <f t="shared" si="11"/>
        <v>338217.01089675998</v>
      </c>
    </row>
    <row r="8" spans="1:18" s="54" customFormat="1" x14ac:dyDescent="0.25">
      <c r="A8" s="51">
        <f t="shared" si="12"/>
        <v>100004</v>
      </c>
      <c r="B8" s="51" t="s">
        <v>56</v>
      </c>
      <c r="C8" s="52"/>
      <c r="D8" s="52"/>
      <c r="E8" s="53">
        <v>46800</v>
      </c>
      <c r="F8" s="53">
        <f t="shared" si="0"/>
        <v>50356.800000000003</v>
      </c>
      <c r="G8" s="53">
        <f t="shared" si="1"/>
        <v>45255.6</v>
      </c>
      <c r="H8" s="53">
        <f t="shared" si="2"/>
        <v>56550.686400000006</v>
      </c>
      <c r="I8" s="53">
        <f t="shared" si="3"/>
        <v>51565.363200000007</v>
      </c>
      <c r="J8" s="53">
        <f t="shared" si="4"/>
        <v>41693.984279999997</v>
      </c>
      <c r="K8" s="53">
        <f t="shared" si="5"/>
        <v>61057.776106080011</v>
      </c>
      <c r="L8" s="53">
        <f t="shared" si="6"/>
        <v>58563.890835840008</v>
      </c>
      <c r="M8" s="53">
        <f t="shared" si="7"/>
        <v>46011.773583360002</v>
      </c>
      <c r="N8" s="53">
        <f t="shared" si="8"/>
        <v>41001.864140951999</v>
      </c>
      <c r="O8" s="53">
        <f t="shared" si="9"/>
        <v>58939.210137600006</v>
      </c>
      <c r="P8" s="53">
        <f t="shared" si="10"/>
        <v>75345.295714902735</v>
      </c>
      <c r="Q8" s="53">
        <f t="shared" si="11"/>
        <v>633142.24439873465</v>
      </c>
    </row>
    <row r="9" spans="1:18" s="54" customFormat="1" x14ac:dyDescent="0.25">
      <c r="A9" s="51">
        <f t="shared" si="12"/>
        <v>100005</v>
      </c>
      <c r="B9" s="51" t="s">
        <v>6</v>
      </c>
      <c r="C9" s="51"/>
      <c r="D9" s="52"/>
      <c r="E9" s="53">
        <v>34680</v>
      </c>
      <c r="F9" s="53">
        <f t="shared" si="0"/>
        <v>37315.68</v>
      </c>
      <c r="G9" s="53">
        <f t="shared" si="1"/>
        <v>33535.56</v>
      </c>
      <c r="H9" s="53">
        <f t="shared" si="2"/>
        <v>41905.50864</v>
      </c>
      <c r="I9" s="53">
        <f t="shared" si="3"/>
        <v>38211.25632</v>
      </c>
      <c r="J9" s="53">
        <f t="shared" si="4"/>
        <v>30896.311427999997</v>
      </c>
      <c r="K9" s="53">
        <f t="shared" si="5"/>
        <v>45245.377678608005</v>
      </c>
      <c r="L9" s="53">
        <f t="shared" si="6"/>
        <v>43397.344747584</v>
      </c>
      <c r="M9" s="53">
        <f t="shared" si="7"/>
        <v>34095.904014335996</v>
      </c>
      <c r="N9" s="53">
        <f t="shared" si="8"/>
        <v>30383.432658295198</v>
      </c>
      <c r="O9" s="53">
        <f t="shared" si="9"/>
        <v>43675.465973760001</v>
      </c>
      <c r="P9" s="53">
        <f t="shared" si="10"/>
        <v>55832.796055402279</v>
      </c>
      <c r="Q9" s="53">
        <f t="shared" si="11"/>
        <v>469174.63751598547</v>
      </c>
    </row>
    <row r="10" spans="1:18" s="54" customFormat="1" x14ac:dyDescent="0.25">
      <c r="A10" s="51">
        <f t="shared" si="12"/>
        <v>100006</v>
      </c>
      <c r="B10" s="51" t="s">
        <v>7</v>
      </c>
      <c r="C10" s="51"/>
      <c r="D10" s="52"/>
      <c r="E10" s="53">
        <v>38789</v>
      </c>
      <c r="F10" s="53">
        <f t="shared" si="0"/>
        <v>41736.964</v>
      </c>
      <c r="G10" s="53">
        <f t="shared" si="1"/>
        <v>37508.962999999996</v>
      </c>
      <c r="H10" s="53">
        <f t="shared" si="2"/>
        <v>46870.610571999998</v>
      </c>
      <c r="I10" s="53">
        <f t="shared" si="3"/>
        <v>42738.651136</v>
      </c>
      <c r="J10" s="53">
        <f t="shared" si="4"/>
        <v>34557.007611899993</v>
      </c>
      <c r="K10" s="53">
        <f t="shared" si="5"/>
        <v>50606.198234588403</v>
      </c>
      <c r="L10" s="53">
        <f t="shared" si="6"/>
        <v>48539.204308363202</v>
      </c>
      <c r="M10" s="53">
        <f t="shared" si="7"/>
        <v>38135.698408652803</v>
      </c>
      <c r="N10" s="53">
        <f t="shared" si="8"/>
        <v>33983.361285542458</v>
      </c>
      <c r="O10" s="53">
        <f t="shared" si="9"/>
        <v>48850.278248447998</v>
      </c>
      <c r="P10" s="53">
        <f t="shared" si="10"/>
        <v>62448.048621482085</v>
      </c>
      <c r="Q10" s="53">
        <f t="shared" si="11"/>
        <v>524763.98542697681</v>
      </c>
    </row>
    <row r="11" spans="1:18" x14ac:dyDescent="0.25">
      <c r="A11" s="23">
        <f t="shared" si="12"/>
        <v>100007</v>
      </c>
      <c r="B11" s="23" t="s">
        <v>12</v>
      </c>
      <c r="C11" s="23" t="s">
        <v>66</v>
      </c>
      <c r="D11" s="21"/>
      <c r="E11" s="25">
        <v>46923</v>
      </c>
      <c r="F11" s="25">
        <f t="shared" si="0"/>
        <v>50489.148000000001</v>
      </c>
      <c r="G11" s="25">
        <f t="shared" si="1"/>
        <v>45374.540999999997</v>
      </c>
      <c r="H11" s="25">
        <f t="shared" si="2"/>
        <v>56699.313203999998</v>
      </c>
      <c r="I11" s="25">
        <f t="shared" si="3"/>
        <v>51700.887552</v>
      </c>
      <c r="J11" s="25">
        <f t="shared" si="4"/>
        <v>41803.564623300001</v>
      </c>
      <c r="K11" s="25">
        <f t="shared" si="5"/>
        <v>61218.248466358804</v>
      </c>
      <c r="L11" s="25">
        <f t="shared" si="6"/>
        <v>58717.808754062404</v>
      </c>
      <c r="M11" s="25">
        <f t="shared" si="7"/>
        <v>46132.701962649597</v>
      </c>
      <c r="N11" s="25">
        <f t="shared" si="8"/>
        <v>41109.62545055322</v>
      </c>
      <c r="O11" s="25">
        <f t="shared" si="9"/>
        <v>59094.114471936002</v>
      </c>
      <c r="P11" s="25">
        <f t="shared" si="10"/>
        <v>75543.31860748677</v>
      </c>
      <c r="Q11" s="25">
        <f t="shared" si="11"/>
        <v>634806.2720923468</v>
      </c>
    </row>
    <row r="12" spans="1:18" x14ac:dyDescent="0.25">
      <c r="A12" s="23">
        <f t="shared" si="12"/>
        <v>100008</v>
      </c>
      <c r="B12" s="23" t="s">
        <v>13</v>
      </c>
      <c r="C12" s="23" t="s">
        <v>67</v>
      </c>
      <c r="D12" s="21"/>
      <c r="E12" s="25">
        <v>19830</v>
      </c>
      <c r="F12" s="25">
        <f t="shared" si="0"/>
        <v>21337.08</v>
      </c>
      <c r="G12" s="25">
        <f t="shared" si="1"/>
        <v>19175.61</v>
      </c>
      <c r="H12" s="25">
        <f t="shared" si="2"/>
        <v>23961.540840000001</v>
      </c>
      <c r="I12" s="25">
        <f t="shared" si="3"/>
        <v>21849.169920000004</v>
      </c>
      <c r="J12" s="25">
        <f t="shared" si="4"/>
        <v>17666.489493000001</v>
      </c>
      <c r="K12" s="25">
        <f t="shared" si="5"/>
        <v>25871.275644948004</v>
      </c>
      <c r="L12" s="25">
        <f t="shared" si="6"/>
        <v>24814.571693904003</v>
      </c>
      <c r="M12" s="25">
        <f t="shared" si="7"/>
        <v>19496.014319616002</v>
      </c>
      <c r="N12" s="25">
        <f t="shared" si="8"/>
        <v>17373.225767416203</v>
      </c>
      <c r="O12" s="25">
        <f t="shared" si="9"/>
        <v>24973.601218560005</v>
      </c>
      <c r="P12" s="25">
        <f t="shared" si="10"/>
        <v>31925.154145865836</v>
      </c>
      <c r="Q12" s="25">
        <f t="shared" si="11"/>
        <v>268273.73304331006</v>
      </c>
    </row>
    <row r="13" spans="1:18" x14ac:dyDescent="0.25">
      <c r="A13" s="23">
        <f t="shared" si="12"/>
        <v>100009</v>
      </c>
      <c r="B13" s="23" t="s">
        <v>14</v>
      </c>
      <c r="C13" s="23" t="s">
        <v>68</v>
      </c>
      <c r="D13" s="21"/>
      <c r="E13" s="25">
        <v>78623</v>
      </c>
      <c r="F13" s="25">
        <f t="shared" si="0"/>
        <v>84598.347999999998</v>
      </c>
      <c r="G13" s="25">
        <f t="shared" si="1"/>
        <v>76028.440999999992</v>
      </c>
      <c r="H13" s="25">
        <f t="shared" si="2"/>
        <v>95003.944803999999</v>
      </c>
      <c r="I13" s="25">
        <f t="shared" si="3"/>
        <v>86628.708352000001</v>
      </c>
      <c r="J13" s="25">
        <f t="shared" si="4"/>
        <v>70045.00269329999</v>
      </c>
      <c r="K13" s="25">
        <f t="shared" si="5"/>
        <v>102575.75920487881</v>
      </c>
      <c r="L13" s="25">
        <f t="shared" si="6"/>
        <v>98386.085239022403</v>
      </c>
      <c r="M13" s="25">
        <f t="shared" si="7"/>
        <v>77298.796462489598</v>
      </c>
      <c r="N13" s="25">
        <f t="shared" si="8"/>
        <v>68882.255648591221</v>
      </c>
      <c r="O13" s="25">
        <f t="shared" si="9"/>
        <v>99016.613646336002</v>
      </c>
      <c r="P13" s="25">
        <f t="shared" si="10"/>
        <v>126578.48685882044</v>
      </c>
      <c r="Q13" s="25">
        <f t="shared" si="11"/>
        <v>1063665.4419094385</v>
      </c>
    </row>
    <row r="14" spans="1:18" x14ac:dyDescent="0.25">
      <c r="A14" s="23">
        <f t="shared" si="12"/>
        <v>100010</v>
      </c>
      <c r="B14" s="23" t="s">
        <v>15</v>
      </c>
      <c r="C14" s="23"/>
      <c r="D14" s="21"/>
      <c r="E14" s="25">
        <v>64300</v>
      </c>
      <c r="F14" s="25">
        <f t="shared" si="0"/>
        <v>69186.8</v>
      </c>
      <c r="G14" s="25">
        <f t="shared" si="1"/>
        <v>62178.1</v>
      </c>
      <c r="H14" s="25">
        <f t="shared" si="2"/>
        <v>77696.776400000002</v>
      </c>
      <c r="I14" s="25">
        <f t="shared" si="3"/>
        <v>70847.283200000005</v>
      </c>
      <c r="J14" s="25">
        <f t="shared" si="4"/>
        <v>57284.683530000002</v>
      </c>
      <c r="K14" s="25">
        <f t="shared" si="5"/>
        <v>83889.209479080004</v>
      </c>
      <c r="L14" s="25">
        <f t="shared" si="6"/>
        <v>80462.781639840003</v>
      </c>
      <c r="M14" s="25">
        <f t="shared" si="7"/>
        <v>63217.03079936</v>
      </c>
      <c r="N14" s="25">
        <f t="shared" si="8"/>
        <v>56333.757783402005</v>
      </c>
      <c r="O14" s="25">
        <f t="shared" si="9"/>
        <v>80978.444697600004</v>
      </c>
      <c r="P14" s="25">
        <f t="shared" si="10"/>
        <v>103519.28449718472</v>
      </c>
      <c r="Q14" s="25">
        <f t="shared" si="11"/>
        <v>869894.15202646668</v>
      </c>
    </row>
    <row r="15" spans="1:18" x14ac:dyDescent="0.25">
      <c r="A15" s="23">
        <f t="shared" si="12"/>
        <v>100011</v>
      </c>
      <c r="B15" s="23" t="s">
        <v>16</v>
      </c>
      <c r="C15" s="23" t="s">
        <v>68</v>
      </c>
      <c r="D15" s="21"/>
      <c r="E15" s="25">
        <v>41500</v>
      </c>
      <c r="F15" s="25">
        <f t="shared" si="0"/>
        <v>44654</v>
      </c>
      <c r="G15" s="25">
        <f t="shared" si="1"/>
        <v>40130.5</v>
      </c>
      <c r="H15" s="25">
        <f t="shared" si="2"/>
        <v>50146.442000000003</v>
      </c>
      <c r="I15" s="25">
        <f t="shared" si="3"/>
        <v>45725.696000000004</v>
      </c>
      <c r="J15" s="25">
        <f t="shared" si="4"/>
        <v>36972.229650000001</v>
      </c>
      <c r="K15" s="25">
        <f t="shared" si="5"/>
        <v>54143.113427400007</v>
      </c>
      <c r="L15" s="25">
        <f t="shared" si="6"/>
        <v>51931.655335200005</v>
      </c>
      <c r="M15" s="25">
        <f t="shared" si="7"/>
        <v>40801.0385408</v>
      </c>
      <c r="N15" s="25">
        <f t="shared" si="8"/>
        <v>36358.490637810006</v>
      </c>
      <c r="O15" s="25">
        <f t="shared" si="9"/>
        <v>52264.470528000005</v>
      </c>
      <c r="P15" s="25">
        <f t="shared" si="10"/>
        <v>66812.601969411611</v>
      </c>
      <c r="Q15" s="25">
        <f t="shared" si="11"/>
        <v>561440.23808862164</v>
      </c>
    </row>
    <row r="16" spans="1:18" x14ac:dyDescent="0.25">
      <c r="A16" s="23">
        <f t="shared" si="12"/>
        <v>100012</v>
      </c>
      <c r="B16" s="23" t="s">
        <v>17</v>
      </c>
      <c r="C16" s="23" t="s">
        <v>69</v>
      </c>
      <c r="D16" s="21"/>
      <c r="E16" s="25">
        <v>32560</v>
      </c>
      <c r="F16" s="25">
        <f t="shared" si="0"/>
        <v>35034.560000000005</v>
      </c>
      <c r="G16" s="25">
        <f t="shared" si="1"/>
        <v>31485.52</v>
      </c>
      <c r="H16" s="25">
        <f t="shared" si="2"/>
        <v>39343.810880000005</v>
      </c>
      <c r="I16" s="25">
        <f t="shared" si="3"/>
        <v>35875.389440000006</v>
      </c>
      <c r="J16" s="25">
        <f t="shared" si="4"/>
        <v>29007.609575999999</v>
      </c>
      <c r="K16" s="25">
        <f t="shared" si="5"/>
        <v>42479.512607136006</v>
      </c>
      <c r="L16" s="25">
        <f t="shared" si="6"/>
        <v>40744.450547328008</v>
      </c>
      <c r="M16" s="25">
        <f t="shared" si="7"/>
        <v>32011.609997312004</v>
      </c>
      <c r="N16" s="25">
        <f t="shared" si="8"/>
        <v>28526.083257038401</v>
      </c>
      <c r="O16" s="25">
        <f t="shared" si="9"/>
        <v>41005.570129920008</v>
      </c>
      <c r="P16" s="25">
        <f t="shared" si="10"/>
        <v>52419.71855720583</v>
      </c>
      <c r="Q16" s="25">
        <f t="shared" si="11"/>
        <v>440493.83499194024</v>
      </c>
    </row>
    <row r="17" spans="1:17" x14ac:dyDescent="0.25">
      <c r="A17" s="23">
        <f t="shared" si="12"/>
        <v>100013</v>
      </c>
      <c r="B17" s="23" t="s">
        <v>18</v>
      </c>
      <c r="C17" s="23" t="s">
        <v>69</v>
      </c>
      <c r="D17" s="21"/>
      <c r="E17" s="25">
        <v>47600</v>
      </c>
      <c r="F17" s="25">
        <f t="shared" si="0"/>
        <v>51217.600000000006</v>
      </c>
      <c r="G17" s="25">
        <f t="shared" si="1"/>
        <v>46029.2</v>
      </c>
      <c r="H17" s="25">
        <f t="shared" si="2"/>
        <v>57517.364800000003</v>
      </c>
      <c r="I17" s="25">
        <f t="shared" si="3"/>
        <v>52446.822400000005</v>
      </c>
      <c r="J17" s="25">
        <f t="shared" si="4"/>
        <v>42406.701959999999</v>
      </c>
      <c r="K17" s="25">
        <f t="shared" si="5"/>
        <v>62101.498774560008</v>
      </c>
      <c r="L17" s="25">
        <f t="shared" si="6"/>
        <v>59564.982986880008</v>
      </c>
      <c r="M17" s="25">
        <f t="shared" si="7"/>
        <v>46798.299627520006</v>
      </c>
      <c r="N17" s="25">
        <f t="shared" si="8"/>
        <v>41702.750707464002</v>
      </c>
      <c r="O17" s="25">
        <f t="shared" si="9"/>
        <v>59946.718003200003</v>
      </c>
      <c r="P17" s="25">
        <f t="shared" si="10"/>
        <v>76633.249487807043</v>
      </c>
      <c r="Q17" s="25">
        <f t="shared" si="11"/>
        <v>643965.18874743104</v>
      </c>
    </row>
    <row r="18" spans="1:17" x14ac:dyDescent="0.25">
      <c r="A18" s="23">
        <f t="shared" si="12"/>
        <v>100014</v>
      </c>
      <c r="B18" s="23" t="s">
        <v>19</v>
      </c>
      <c r="C18" s="23" t="s">
        <v>70</v>
      </c>
      <c r="D18" s="21"/>
      <c r="E18" s="25">
        <v>46900</v>
      </c>
      <c r="F18" s="25">
        <f t="shared" si="0"/>
        <v>50464.4</v>
      </c>
      <c r="G18" s="25">
        <f t="shared" si="1"/>
        <v>45352.299999999996</v>
      </c>
      <c r="H18" s="25">
        <f t="shared" si="2"/>
        <v>56671.521200000003</v>
      </c>
      <c r="I18" s="25">
        <f t="shared" si="3"/>
        <v>51675.545600000005</v>
      </c>
      <c r="J18" s="25">
        <f t="shared" si="4"/>
        <v>41783.073989999997</v>
      </c>
      <c r="K18" s="25">
        <f t="shared" si="5"/>
        <v>61188.241439640005</v>
      </c>
      <c r="L18" s="25">
        <f t="shared" si="6"/>
        <v>58689.027354720005</v>
      </c>
      <c r="M18" s="25">
        <f t="shared" si="7"/>
        <v>46110.089338880003</v>
      </c>
      <c r="N18" s="25">
        <f t="shared" si="8"/>
        <v>41089.474961765998</v>
      </c>
      <c r="O18" s="25">
        <f t="shared" si="9"/>
        <v>59065.148620800006</v>
      </c>
      <c r="P18" s="25">
        <f t="shared" si="10"/>
        <v>75506.289936515765</v>
      </c>
      <c r="Q18" s="25">
        <f t="shared" si="11"/>
        <v>634495.11244232173</v>
      </c>
    </row>
    <row r="19" spans="1:17" x14ac:dyDescent="0.25">
      <c r="A19" s="23">
        <f t="shared" si="12"/>
        <v>100015</v>
      </c>
      <c r="B19" s="26" t="s">
        <v>22</v>
      </c>
      <c r="C19" s="23">
        <v>1</v>
      </c>
      <c r="D19" s="21"/>
      <c r="E19" s="25">
        <v>153290</v>
      </c>
      <c r="F19" s="25">
        <f t="shared" si="0"/>
        <v>164940.04</v>
      </c>
      <c r="G19" s="25">
        <f t="shared" si="1"/>
        <v>148231.43</v>
      </c>
      <c r="H19" s="25">
        <f t="shared" si="2"/>
        <v>185227.66492000001</v>
      </c>
      <c r="I19" s="25">
        <f t="shared" si="3"/>
        <v>168898.60096000001</v>
      </c>
      <c r="J19" s="25">
        <f t="shared" si="4"/>
        <v>136565.61645899998</v>
      </c>
      <c r="K19" s="25">
        <f t="shared" si="5"/>
        <v>199990.30981412402</v>
      </c>
      <c r="L19" s="25">
        <f t="shared" si="6"/>
        <v>191821.76979115204</v>
      </c>
      <c r="M19" s="25">
        <f t="shared" si="7"/>
        <v>150708.22163660801</v>
      </c>
      <c r="N19" s="25">
        <f t="shared" si="8"/>
        <v>134298.6272257806</v>
      </c>
      <c r="O19" s="25">
        <f t="shared" si="9"/>
        <v>193051.10089728</v>
      </c>
      <c r="P19" s="25">
        <f t="shared" si="10"/>
        <v>246788.04231062904</v>
      </c>
      <c r="Q19" s="25">
        <f t="shared" si="11"/>
        <v>2073811.4240145737</v>
      </c>
    </row>
    <row r="20" spans="1:17" x14ac:dyDescent="0.25">
      <c r="A20" s="23">
        <f t="shared" si="12"/>
        <v>100016</v>
      </c>
      <c r="B20" s="26" t="s">
        <v>23</v>
      </c>
      <c r="C20" s="23">
        <v>1</v>
      </c>
      <c r="D20" s="21"/>
      <c r="E20" s="25">
        <v>35790</v>
      </c>
      <c r="F20" s="25">
        <f t="shared" si="0"/>
        <v>38510.04</v>
      </c>
      <c r="G20" s="25">
        <f t="shared" si="1"/>
        <v>34608.93</v>
      </c>
      <c r="H20" s="25">
        <f t="shared" si="2"/>
        <v>43246.774920000003</v>
      </c>
      <c r="I20" s="25">
        <f t="shared" si="3"/>
        <v>39434.280960000004</v>
      </c>
      <c r="J20" s="25">
        <f t="shared" si="4"/>
        <v>31885.207209</v>
      </c>
      <c r="K20" s="25">
        <f t="shared" si="5"/>
        <v>46693.542881124005</v>
      </c>
      <c r="L20" s="25">
        <f t="shared" si="6"/>
        <v>44786.36010715201</v>
      </c>
      <c r="M20" s="25">
        <f t="shared" si="7"/>
        <v>35187.208900608006</v>
      </c>
      <c r="N20" s="25">
        <f t="shared" si="8"/>
        <v>31355.9127693306</v>
      </c>
      <c r="O20" s="25">
        <f t="shared" si="9"/>
        <v>45073.383137280005</v>
      </c>
      <c r="P20" s="25">
        <f t="shared" si="10"/>
        <v>57619.831915307019</v>
      </c>
      <c r="Q20" s="25">
        <f t="shared" si="11"/>
        <v>484191.47279980168</v>
      </c>
    </row>
    <row r="21" spans="1:17" x14ac:dyDescent="0.25">
      <c r="A21" s="23">
        <f t="shared" si="12"/>
        <v>100017</v>
      </c>
      <c r="B21" s="26" t="s">
        <v>24</v>
      </c>
      <c r="C21" s="23">
        <v>1</v>
      </c>
      <c r="D21" s="21"/>
      <c r="E21" s="25">
        <v>25800</v>
      </c>
      <c r="F21" s="25">
        <f t="shared" si="0"/>
        <v>27760.800000000003</v>
      </c>
      <c r="G21" s="25">
        <f t="shared" si="1"/>
        <v>24948.6</v>
      </c>
      <c r="H21" s="25">
        <f t="shared" si="2"/>
        <v>31175.378400000001</v>
      </c>
      <c r="I21" s="25">
        <f t="shared" si="3"/>
        <v>28427.059200000003</v>
      </c>
      <c r="J21" s="25">
        <f t="shared" si="4"/>
        <v>22985.14518</v>
      </c>
      <c r="K21" s="25">
        <f t="shared" si="5"/>
        <v>33660.056058480004</v>
      </c>
      <c r="L21" s="25">
        <f t="shared" si="6"/>
        <v>32285.221871040005</v>
      </c>
      <c r="M21" s="25">
        <f t="shared" si="7"/>
        <v>25365.464924160002</v>
      </c>
      <c r="N21" s="25">
        <f t="shared" si="8"/>
        <v>22603.591770012001</v>
      </c>
      <c r="O21" s="25">
        <f t="shared" si="9"/>
        <v>32492.128665600005</v>
      </c>
      <c r="P21" s="25">
        <f t="shared" si="10"/>
        <v>41536.509176164327</v>
      </c>
      <c r="Q21" s="25">
        <f t="shared" si="11"/>
        <v>349039.95524545637</v>
      </c>
    </row>
    <row r="22" spans="1:17" x14ac:dyDescent="0.25">
      <c r="A22" s="23">
        <f t="shared" si="12"/>
        <v>100018</v>
      </c>
      <c r="B22" s="26" t="s">
        <v>25</v>
      </c>
      <c r="C22" s="23">
        <v>1</v>
      </c>
      <c r="D22" s="21"/>
      <c r="E22" s="25">
        <v>24600</v>
      </c>
      <c r="F22" s="25">
        <f t="shared" si="0"/>
        <v>26469.600000000002</v>
      </c>
      <c r="G22" s="25">
        <f t="shared" si="1"/>
        <v>23788.2</v>
      </c>
      <c r="H22" s="25">
        <f t="shared" si="2"/>
        <v>29725.360800000002</v>
      </c>
      <c r="I22" s="25">
        <f t="shared" si="3"/>
        <v>27104.870400000003</v>
      </c>
      <c r="J22" s="25">
        <f t="shared" si="4"/>
        <v>21916.068660000001</v>
      </c>
      <c r="K22" s="25">
        <f t="shared" si="5"/>
        <v>32094.472055760005</v>
      </c>
      <c r="L22" s="25">
        <f t="shared" si="6"/>
        <v>30783.583644480004</v>
      </c>
      <c r="M22" s="25">
        <f t="shared" si="7"/>
        <v>24185.675857920003</v>
      </c>
      <c r="N22" s="25">
        <f t="shared" si="8"/>
        <v>21552.261920244004</v>
      </c>
      <c r="O22" s="25">
        <f t="shared" si="9"/>
        <v>30980.866867200006</v>
      </c>
      <c r="P22" s="25">
        <f t="shared" si="10"/>
        <v>39604.578516807844</v>
      </c>
      <c r="Q22" s="25">
        <f t="shared" si="11"/>
        <v>332805.53872241185</v>
      </c>
    </row>
    <row r="23" spans="1:17" x14ac:dyDescent="0.25">
      <c r="A23" s="23">
        <f t="shared" si="12"/>
        <v>100019</v>
      </c>
      <c r="B23" s="26" t="s">
        <v>26</v>
      </c>
      <c r="C23" s="23">
        <v>1</v>
      </c>
      <c r="D23" s="21"/>
      <c r="E23" s="25">
        <v>21570</v>
      </c>
      <c r="F23" s="25">
        <f t="shared" si="0"/>
        <v>23209.32</v>
      </c>
      <c r="G23" s="25">
        <f t="shared" si="1"/>
        <v>20858.189999999999</v>
      </c>
      <c r="H23" s="25">
        <f t="shared" si="2"/>
        <v>26064.066360000001</v>
      </c>
      <c r="I23" s="25">
        <f t="shared" si="3"/>
        <v>23766.343680000002</v>
      </c>
      <c r="J23" s="25">
        <f t="shared" si="4"/>
        <v>19216.650447</v>
      </c>
      <c r="K23" s="25">
        <f t="shared" si="5"/>
        <v>28141.372448892005</v>
      </c>
      <c r="L23" s="25">
        <f t="shared" si="6"/>
        <v>26991.947122416004</v>
      </c>
      <c r="M23" s="25">
        <f t="shared" si="7"/>
        <v>21206.708465664</v>
      </c>
      <c r="N23" s="25">
        <f t="shared" si="8"/>
        <v>18897.6540495798</v>
      </c>
      <c r="O23" s="25">
        <f t="shared" si="9"/>
        <v>27164.930826240001</v>
      </c>
      <c r="P23" s="25">
        <f t="shared" si="10"/>
        <v>34726.453601932735</v>
      </c>
      <c r="Q23" s="25">
        <f t="shared" si="11"/>
        <v>291813.63700172456</v>
      </c>
    </row>
    <row r="24" spans="1:17" x14ac:dyDescent="0.25">
      <c r="A24" s="23">
        <f t="shared" si="12"/>
        <v>100020</v>
      </c>
      <c r="B24" s="26" t="s">
        <v>27</v>
      </c>
      <c r="C24" s="23"/>
      <c r="D24" s="21"/>
      <c r="E24" s="25">
        <v>14600</v>
      </c>
      <c r="F24" s="25">
        <f t="shared" si="0"/>
        <v>15709.6</v>
      </c>
      <c r="G24" s="25">
        <f t="shared" si="1"/>
        <v>14118.199999999999</v>
      </c>
      <c r="H24" s="25">
        <f t="shared" si="2"/>
        <v>17641.880799999999</v>
      </c>
      <c r="I24" s="25">
        <f t="shared" si="3"/>
        <v>16086.6304</v>
      </c>
      <c r="J24" s="25">
        <f t="shared" si="4"/>
        <v>13007.097659999999</v>
      </c>
      <c r="K24" s="25">
        <f t="shared" si="5"/>
        <v>19047.938699760001</v>
      </c>
      <c r="L24" s="25">
        <f t="shared" si="6"/>
        <v>18269.93175648</v>
      </c>
      <c r="M24" s="25">
        <f t="shared" si="7"/>
        <v>14354.100305919999</v>
      </c>
      <c r="N24" s="25">
        <f t="shared" si="8"/>
        <v>12791.179838844</v>
      </c>
      <c r="O24" s="25">
        <f t="shared" si="9"/>
        <v>18387.018547200001</v>
      </c>
      <c r="P24" s="25">
        <f t="shared" si="10"/>
        <v>23505.156355503841</v>
      </c>
      <c r="Q24" s="25">
        <f t="shared" si="11"/>
        <v>197518.73436370783</v>
      </c>
    </row>
    <row r="25" spans="1:17" x14ac:dyDescent="0.25">
      <c r="A25" s="23">
        <f t="shared" si="12"/>
        <v>100021</v>
      </c>
      <c r="B25" s="24" t="s">
        <v>77</v>
      </c>
      <c r="C25" s="23" t="s">
        <v>78</v>
      </c>
      <c r="D25" s="21"/>
      <c r="E25" s="25">
        <v>24790</v>
      </c>
      <c r="F25" s="25">
        <f t="shared" si="0"/>
        <v>26674.04</v>
      </c>
      <c r="G25" s="25">
        <f t="shared" si="1"/>
        <v>23971.93</v>
      </c>
      <c r="H25" s="25">
        <f t="shared" si="2"/>
        <v>29954.946920000002</v>
      </c>
      <c r="I25" s="25">
        <f t="shared" si="3"/>
        <v>27314.216960000002</v>
      </c>
      <c r="J25" s="25">
        <f t="shared" si="4"/>
        <v>22085.339109</v>
      </c>
      <c r="K25" s="25">
        <f t="shared" si="5"/>
        <v>32342.356189524005</v>
      </c>
      <c r="L25" s="25">
        <f t="shared" si="6"/>
        <v>31021.343030352004</v>
      </c>
      <c r="M25" s="25">
        <f t="shared" si="7"/>
        <v>24372.475793408001</v>
      </c>
      <c r="N25" s="25">
        <f t="shared" si="8"/>
        <v>21718.722479790602</v>
      </c>
      <c r="O25" s="25">
        <f t="shared" si="9"/>
        <v>31220.149985280001</v>
      </c>
      <c r="P25" s="25">
        <f t="shared" si="10"/>
        <v>39910.467537872624</v>
      </c>
      <c r="Q25" s="25">
        <f t="shared" si="11"/>
        <v>335375.98800522723</v>
      </c>
    </row>
    <row r="26" spans="1:17" x14ac:dyDescent="0.25">
      <c r="A26" s="23">
        <f t="shared" si="12"/>
        <v>100022</v>
      </c>
      <c r="B26" s="24" t="s">
        <v>38</v>
      </c>
      <c r="C26" s="23" t="s">
        <v>79</v>
      </c>
      <c r="D26" s="21"/>
      <c r="E26" s="25">
        <v>28900</v>
      </c>
      <c r="F26" s="25">
        <f t="shared" si="0"/>
        <v>31096.400000000001</v>
      </c>
      <c r="G26" s="25">
        <f t="shared" si="1"/>
        <v>27946.3</v>
      </c>
      <c r="H26" s="25">
        <f t="shared" si="2"/>
        <v>34921.2572</v>
      </c>
      <c r="I26" s="25">
        <f t="shared" si="3"/>
        <v>31842.713600000003</v>
      </c>
      <c r="J26" s="25">
        <f t="shared" si="4"/>
        <v>25746.926189999998</v>
      </c>
      <c r="K26" s="25">
        <f t="shared" si="5"/>
        <v>37704.481398840006</v>
      </c>
      <c r="L26" s="25">
        <f t="shared" si="6"/>
        <v>36164.453956320001</v>
      </c>
      <c r="M26" s="25">
        <f t="shared" si="7"/>
        <v>28413.253345280002</v>
      </c>
      <c r="N26" s="25">
        <f t="shared" si="8"/>
        <v>25319.527215245998</v>
      </c>
      <c r="O26" s="25">
        <f t="shared" si="9"/>
        <v>36396.221644800004</v>
      </c>
      <c r="P26" s="25">
        <f t="shared" si="10"/>
        <v>46527.330046168565</v>
      </c>
      <c r="Q26" s="25">
        <f t="shared" si="11"/>
        <v>390978.8645966546</v>
      </c>
    </row>
    <row r="27" spans="1:17" x14ac:dyDescent="0.25">
      <c r="A27" s="23">
        <f t="shared" si="12"/>
        <v>100023</v>
      </c>
      <c r="B27" s="24" t="s">
        <v>76</v>
      </c>
      <c r="C27" s="23" t="s">
        <v>80</v>
      </c>
      <c r="D27" s="21"/>
      <c r="E27" s="25">
        <v>39020</v>
      </c>
      <c r="F27" s="25">
        <f t="shared" si="0"/>
        <v>41985.520000000004</v>
      </c>
      <c r="G27" s="25">
        <f t="shared" si="1"/>
        <v>37732.339999999997</v>
      </c>
      <c r="H27" s="25">
        <f t="shared" si="2"/>
        <v>47149.738960000002</v>
      </c>
      <c r="I27" s="25">
        <f t="shared" si="3"/>
        <v>42993.172480000008</v>
      </c>
      <c r="J27" s="25">
        <f t="shared" si="4"/>
        <v>34762.804841999998</v>
      </c>
      <c r="K27" s="25">
        <f t="shared" si="5"/>
        <v>50907.573155112004</v>
      </c>
      <c r="L27" s="25">
        <f t="shared" si="6"/>
        <v>48828.269666976004</v>
      </c>
      <c r="M27" s="25">
        <f t="shared" si="7"/>
        <v>38362.807803904005</v>
      </c>
      <c r="N27" s="25">
        <f t="shared" si="8"/>
        <v>34185.742281622799</v>
      </c>
      <c r="O27" s="25">
        <f t="shared" si="9"/>
        <v>49141.196144640009</v>
      </c>
      <c r="P27" s="25">
        <f t="shared" si="10"/>
        <v>62819.945273408215</v>
      </c>
      <c r="Q27" s="25">
        <f t="shared" si="11"/>
        <v>527889.11060766294</v>
      </c>
    </row>
    <row r="28" spans="1:17" x14ac:dyDescent="0.25">
      <c r="A28" s="23">
        <f t="shared" si="12"/>
        <v>100024</v>
      </c>
      <c r="B28" s="27" t="s">
        <v>39</v>
      </c>
      <c r="C28" s="23" t="s">
        <v>81</v>
      </c>
      <c r="D28" s="21"/>
      <c r="E28" s="25">
        <v>57300</v>
      </c>
      <c r="F28" s="25">
        <f t="shared" si="0"/>
        <v>61654.8</v>
      </c>
      <c r="G28" s="25">
        <f t="shared" si="1"/>
        <v>55409.1</v>
      </c>
      <c r="H28" s="25">
        <f t="shared" si="2"/>
        <v>69238.340400000001</v>
      </c>
      <c r="I28" s="25">
        <f t="shared" si="3"/>
        <v>63134.515200000002</v>
      </c>
      <c r="J28" s="25">
        <f t="shared" si="4"/>
        <v>51048.403829999996</v>
      </c>
      <c r="K28" s="25">
        <f t="shared" si="5"/>
        <v>74756.636129880004</v>
      </c>
      <c r="L28" s="25">
        <f t="shared" si="6"/>
        <v>71703.225318240002</v>
      </c>
      <c r="M28" s="25">
        <f t="shared" si="7"/>
        <v>56334.927912960004</v>
      </c>
      <c r="N28" s="25">
        <f t="shared" si="8"/>
        <v>50201.000326421999</v>
      </c>
      <c r="O28" s="25">
        <f t="shared" si="9"/>
        <v>72162.750873600002</v>
      </c>
      <c r="P28" s="25">
        <f t="shared" si="10"/>
        <v>92249.688984271925</v>
      </c>
      <c r="Q28" s="25">
        <f t="shared" si="11"/>
        <v>775193.38897537393</v>
      </c>
    </row>
    <row r="29" spans="1:17" x14ac:dyDescent="0.25">
      <c r="A29" s="23">
        <f t="shared" si="12"/>
        <v>100025</v>
      </c>
      <c r="B29" s="27" t="s">
        <v>40</v>
      </c>
      <c r="C29" s="23" t="s">
        <v>82</v>
      </c>
      <c r="D29" s="21"/>
      <c r="E29" s="25">
        <v>28700</v>
      </c>
      <c r="F29" s="25">
        <f t="shared" si="0"/>
        <v>30881.200000000001</v>
      </c>
      <c r="G29" s="25">
        <f t="shared" si="1"/>
        <v>27752.899999999998</v>
      </c>
      <c r="H29" s="25">
        <f t="shared" si="2"/>
        <v>34679.587599999999</v>
      </c>
      <c r="I29" s="25">
        <f t="shared" si="3"/>
        <v>31622.3488</v>
      </c>
      <c r="J29" s="25">
        <f t="shared" si="4"/>
        <v>25568.746769999998</v>
      </c>
      <c r="K29" s="25">
        <f t="shared" si="5"/>
        <v>37443.550731720003</v>
      </c>
      <c r="L29" s="25">
        <f t="shared" si="6"/>
        <v>35914.18091856</v>
      </c>
      <c r="M29" s="25">
        <f t="shared" si="7"/>
        <v>28216.621834239999</v>
      </c>
      <c r="N29" s="25">
        <f t="shared" si="8"/>
        <v>25144.305573617999</v>
      </c>
      <c r="O29" s="25">
        <f t="shared" si="9"/>
        <v>36144.344678399997</v>
      </c>
      <c r="P29" s="25">
        <f t="shared" si="10"/>
        <v>46205.341602942484</v>
      </c>
      <c r="Q29" s="25">
        <f t="shared" si="11"/>
        <v>388273.12850948045</v>
      </c>
    </row>
    <row r="30" spans="1:17" x14ac:dyDescent="0.25">
      <c r="A30" s="23">
        <f t="shared" si="12"/>
        <v>100026</v>
      </c>
      <c r="B30" s="27" t="s">
        <v>41</v>
      </c>
      <c r="C30" s="23" t="s">
        <v>81</v>
      </c>
      <c r="D30" s="21"/>
      <c r="E30" s="25">
        <v>65200</v>
      </c>
      <c r="F30" s="25">
        <f t="shared" si="0"/>
        <v>70155.200000000012</v>
      </c>
      <c r="G30" s="25">
        <f t="shared" si="1"/>
        <v>63048.4</v>
      </c>
      <c r="H30" s="25">
        <f t="shared" si="2"/>
        <v>78784.289600000018</v>
      </c>
      <c r="I30" s="25">
        <f t="shared" si="3"/>
        <v>71838.924800000008</v>
      </c>
      <c r="J30" s="25">
        <f t="shared" si="4"/>
        <v>58086.490920000004</v>
      </c>
      <c r="K30" s="25">
        <f t="shared" si="5"/>
        <v>85063.397481120031</v>
      </c>
      <c r="L30" s="25">
        <f t="shared" si="6"/>
        <v>81589.010309760022</v>
      </c>
      <c r="M30" s="25">
        <f t="shared" si="7"/>
        <v>64101.872599040005</v>
      </c>
      <c r="N30" s="25">
        <f t="shared" si="8"/>
        <v>57122.255170728007</v>
      </c>
      <c r="O30" s="25">
        <f t="shared" si="9"/>
        <v>82111.891046400007</v>
      </c>
      <c r="P30" s="25">
        <f t="shared" si="10"/>
        <v>104968.23249170212</v>
      </c>
      <c r="Q30" s="25">
        <f t="shared" si="11"/>
        <v>882069.96441875026</v>
      </c>
    </row>
    <row r="31" spans="1:17" x14ac:dyDescent="0.25">
      <c r="A31" s="23">
        <f t="shared" si="12"/>
        <v>100027</v>
      </c>
      <c r="B31" s="27" t="s">
        <v>42</v>
      </c>
      <c r="C31" s="23" t="s">
        <v>82</v>
      </c>
      <c r="D31" s="21"/>
      <c r="E31" s="25">
        <v>23600</v>
      </c>
      <c r="F31" s="25">
        <f t="shared" si="0"/>
        <v>25393.600000000002</v>
      </c>
      <c r="G31" s="25">
        <f t="shared" si="1"/>
        <v>22821.200000000001</v>
      </c>
      <c r="H31" s="25">
        <f t="shared" si="2"/>
        <v>28517.012800000004</v>
      </c>
      <c r="I31" s="25">
        <f t="shared" si="3"/>
        <v>26003.046400000003</v>
      </c>
      <c r="J31" s="25">
        <f t="shared" si="4"/>
        <v>21025.171560000003</v>
      </c>
      <c r="K31" s="25">
        <f t="shared" si="5"/>
        <v>30789.818720160009</v>
      </c>
      <c r="L31" s="25">
        <f t="shared" si="6"/>
        <v>29532.218455680006</v>
      </c>
      <c r="M31" s="25">
        <f t="shared" si="7"/>
        <v>23202.518302720004</v>
      </c>
      <c r="N31" s="25">
        <f t="shared" si="8"/>
        <v>20676.153712104002</v>
      </c>
      <c r="O31" s="25">
        <f t="shared" si="9"/>
        <v>29721.482035200002</v>
      </c>
      <c r="P31" s="25">
        <f t="shared" si="10"/>
        <v>37994.636300677448</v>
      </c>
      <c r="Q31" s="25">
        <f t="shared" si="11"/>
        <v>319276.85828654148</v>
      </c>
    </row>
    <row r="32" spans="1:17" x14ac:dyDescent="0.25">
      <c r="A32" s="23">
        <f t="shared" si="12"/>
        <v>100028</v>
      </c>
      <c r="B32" s="27" t="s">
        <v>43</v>
      </c>
      <c r="C32" s="23" t="s">
        <v>83</v>
      </c>
      <c r="D32" s="21"/>
      <c r="E32" s="25">
        <v>24370</v>
      </c>
      <c r="F32" s="25">
        <f t="shared" si="0"/>
        <v>26222.120000000003</v>
      </c>
      <c r="G32" s="25">
        <f t="shared" si="1"/>
        <v>23565.79</v>
      </c>
      <c r="H32" s="25">
        <f t="shared" si="2"/>
        <v>29447.440760000001</v>
      </c>
      <c r="I32" s="25">
        <f t="shared" si="3"/>
        <v>26851.450880000004</v>
      </c>
      <c r="J32" s="25">
        <f t="shared" si="4"/>
        <v>21711.162327000002</v>
      </c>
      <c r="K32" s="25">
        <f t="shared" si="5"/>
        <v>31794.401788572006</v>
      </c>
      <c r="L32" s="25">
        <f t="shared" si="6"/>
        <v>30495.769651056005</v>
      </c>
      <c r="M32" s="25">
        <f t="shared" si="7"/>
        <v>23959.549620224003</v>
      </c>
      <c r="N32" s="25">
        <f t="shared" si="8"/>
        <v>21350.757032371803</v>
      </c>
      <c r="O32" s="25">
        <f t="shared" si="9"/>
        <v>30691.208355840005</v>
      </c>
      <c r="P32" s="25">
        <f t="shared" si="10"/>
        <v>39234.291807097856</v>
      </c>
      <c r="Q32" s="25">
        <f t="shared" si="11"/>
        <v>329693.94222216168</v>
      </c>
    </row>
    <row r="33" spans="1:17" x14ac:dyDescent="0.25">
      <c r="A33" s="23">
        <f t="shared" si="12"/>
        <v>100029</v>
      </c>
      <c r="B33" s="27" t="s">
        <v>44</v>
      </c>
      <c r="C33" s="23" t="s">
        <v>84</v>
      </c>
      <c r="D33" s="21"/>
      <c r="E33" s="25">
        <v>18670</v>
      </c>
      <c r="F33" s="25">
        <f t="shared" si="0"/>
        <v>20088.920000000002</v>
      </c>
      <c r="G33" s="25">
        <f t="shared" si="1"/>
        <v>18053.89</v>
      </c>
      <c r="H33" s="25">
        <f t="shared" si="2"/>
        <v>22559.857160000003</v>
      </c>
      <c r="I33" s="25">
        <f t="shared" si="3"/>
        <v>20571.054080000002</v>
      </c>
      <c r="J33" s="25">
        <f t="shared" si="4"/>
        <v>16633.048856999998</v>
      </c>
      <c r="K33" s="25">
        <f t="shared" si="5"/>
        <v>24357.877775652007</v>
      </c>
      <c r="L33" s="25">
        <f t="shared" si="6"/>
        <v>23362.988074896006</v>
      </c>
      <c r="M33" s="25">
        <f t="shared" si="7"/>
        <v>18355.551555584003</v>
      </c>
      <c r="N33" s="25">
        <f t="shared" si="8"/>
        <v>16356.940245973799</v>
      </c>
      <c r="O33" s="25">
        <f t="shared" si="9"/>
        <v>23512.714813440001</v>
      </c>
      <c r="P33" s="25">
        <f t="shared" si="10"/>
        <v>30057.621175154574</v>
      </c>
      <c r="Q33" s="25">
        <f t="shared" si="11"/>
        <v>252580.4637377004</v>
      </c>
    </row>
    <row r="34" spans="1:17" x14ac:dyDescent="0.25">
      <c r="A34" s="23">
        <f t="shared" si="12"/>
        <v>100030</v>
      </c>
      <c r="B34" s="27" t="s">
        <v>45</v>
      </c>
      <c r="C34" s="24" t="s">
        <v>85</v>
      </c>
      <c r="D34" s="21"/>
      <c r="E34" s="25">
        <v>14690</v>
      </c>
      <c r="F34" s="25">
        <f t="shared" si="0"/>
        <v>15806.44</v>
      </c>
      <c r="G34" s="25">
        <f t="shared" si="1"/>
        <v>14205.23</v>
      </c>
      <c r="H34" s="25">
        <f t="shared" si="2"/>
        <v>17750.632120000002</v>
      </c>
      <c r="I34" s="25">
        <f t="shared" si="3"/>
        <v>16185.79456</v>
      </c>
      <c r="J34" s="25">
        <f t="shared" si="4"/>
        <v>13087.278398999999</v>
      </c>
      <c r="K34" s="25">
        <f t="shared" si="5"/>
        <v>19165.357499964004</v>
      </c>
      <c r="L34" s="25">
        <f t="shared" si="6"/>
        <v>18382.554623472002</v>
      </c>
      <c r="M34" s="25">
        <f t="shared" si="7"/>
        <v>14442.584485887999</v>
      </c>
      <c r="N34" s="25">
        <f t="shared" si="8"/>
        <v>12870.029577576599</v>
      </c>
      <c r="O34" s="25">
        <f t="shared" si="9"/>
        <v>18500.36318208</v>
      </c>
      <c r="P34" s="25">
        <f t="shared" si="10"/>
        <v>23650.051154955581</v>
      </c>
      <c r="Q34" s="25">
        <f t="shared" si="11"/>
        <v>198736.31560293617</v>
      </c>
    </row>
    <row r="35" spans="1:17" x14ac:dyDescent="0.25">
      <c r="A35" s="23">
        <f t="shared" si="12"/>
        <v>100031</v>
      </c>
      <c r="B35" s="27" t="s">
        <v>46</v>
      </c>
      <c r="C35" s="24" t="s">
        <v>86</v>
      </c>
      <c r="D35" s="21"/>
      <c r="E35" s="25">
        <v>21390</v>
      </c>
      <c r="F35" s="25">
        <f t="shared" si="0"/>
        <v>23015.640000000003</v>
      </c>
      <c r="G35" s="25">
        <f t="shared" si="1"/>
        <v>20684.13</v>
      </c>
      <c r="H35" s="25">
        <f t="shared" si="2"/>
        <v>25846.563720000002</v>
      </c>
      <c r="I35" s="25">
        <f t="shared" si="3"/>
        <v>23568.015360000005</v>
      </c>
      <c r="J35" s="25">
        <f t="shared" si="4"/>
        <v>19056.288969000001</v>
      </c>
      <c r="K35" s="25">
        <f t="shared" si="5"/>
        <v>27906.534848484003</v>
      </c>
      <c r="L35" s="25">
        <f t="shared" si="6"/>
        <v>26766.701388432004</v>
      </c>
      <c r="M35" s="25">
        <f t="shared" si="7"/>
        <v>21029.740105728004</v>
      </c>
      <c r="N35" s="25">
        <f t="shared" si="8"/>
        <v>18739.954572114602</v>
      </c>
      <c r="O35" s="25">
        <f t="shared" si="9"/>
        <v>26938.241556480007</v>
      </c>
      <c r="P35" s="25">
        <f t="shared" si="10"/>
        <v>34436.664003029262</v>
      </c>
      <c r="Q35" s="25">
        <f t="shared" si="11"/>
        <v>289378.47452326788</v>
      </c>
    </row>
    <row r="36" spans="1:17" x14ac:dyDescent="0.25">
      <c r="A36" s="23">
        <f t="shared" si="12"/>
        <v>100032</v>
      </c>
      <c r="B36" s="27" t="s">
        <v>47</v>
      </c>
      <c r="C36" s="24" t="s">
        <v>87</v>
      </c>
      <c r="D36" s="21"/>
      <c r="E36" s="25">
        <v>17800</v>
      </c>
      <c r="F36" s="25">
        <f t="shared" si="0"/>
        <v>19152.800000000003</v>
      </c>
      <c r="G36" s="25">
        <f t="shared" si="1"/>
        <v>17212.599999999999</v>
      </c>
      <c r="H36" s="25">
        <f t="shared" si="2"/>
        <v>21508.594400000002</v>
      </c>
      <c r="I36" s="25">
        <f t="shared" si="3"/>
        <v>19612.467200000003</v>
      </c>
      <c r="J36" s="25">
        <f t="shared" si="4"/>
        <v>15857.968379999998</v>
      </c>
      <c r="K36" s="25">
        <f t="shared" si="5"/>
        <v>23222.829373680004</v>
      </c>
      <c r="L36" s="25">
        <f t="shared" si="6"/>
        <v>22274.300360640005</v>
      </c>
      <c r="M36" s="25">
        <f t="shared" si="7"/>
        <v>17500.204482560002</v>
      </c>
      <c r="N36" s="25">
        <f t="shared" si="8"/>
        <v>15594.726104891999</v>
      </c>
      <c r="O36" s="25">
        <f t="shared" si="9"/>
        <v>22417.050009600003</v>
      </c>
      <c r="P36" s="25">
        <f t="shared" si="10"/>
        <v>28656.971447121126</v>
      </c>
      <c r="Q36" s="25">
        <f t="shared" si="11"/>
        <v>240810.51175849311</v>
      </c>
    </row>
    <row r="37" spans="1:17" x14ac:dyDescent="0.25">
      <c r="A37" s="23">
        <f t="shared" si="12"/>
        <v>100033</v>
      </c>
      <c r="B37" s="28" t="s">
        <v>29</v>
      </c>
      <c r="C37" s="24"/>
      <c r="D37" s="21"/>
      <c r="E37" s="25">
        <v>253800</v>
      </c>
      <c r="F37" s="25">
        <f t="shared" si="0"/>
        <v>273088.8</v>
      </c>
      <c r="G37" s="25">
        <f t="shared" si="1"/>
        <v>245424.6</v>
      </c>
      <c r="H37" s="25">
        <f t="shared" si="2"/>
        <v>306678.72239999997</v>
      </c>
      <c r="I37" s="25">
        <f t="shared" si="3"/>
        <v>279642.93119999999</v>
      </c>
      <c r="J37" s="25">
        <f t="shared" si="4"/>
        <v>226109.68398</v>
      </c>
      <c r="K37" s="25">
        <f t="shared" si="5"/>
        <v>331121.01657527999</v>
      </c>
      <c r="L37" s="25">
        <f t="shared" si="6"/>
        <v>317596.48491743999</v>
      </c>
      <c r="M37" s="25">
        <f t="shared" si="7"/>
        <v>249525.38750975998</v>
      </c>
      <c r="N37" s="25">
        <f t="shared" si="8"/>
        <v>222356.26322593202</v>
      </c>
      <c r="O37" s="25">
        <f t="shared" si="9"/>
        <v>319631.87036160001</v>
      </c>
      <c r="P37" s="25">
        <f t="shared" si="10"/>
        <v>408603.33445389551</v>
      </c>
      <c r="Q37" s="25">
        <f t="shared" si="11"/>
        <v>3433579.0946239079</v>
      </c>
    </row>
    <row r="38" spans="1:17" x14ac:dyDescent="0.25">
      <c r="A38" s="23">
        <f t="shared" si="12"/>
        <v>100034</v>
      </c>
      <c r="B38" s="29" t="s">
        <v>30</v>
      </c>
      <c r="C38" s="24"/>
      <c r="D38" s="21"/>
      <c r="E38" s="25">
        <v>236790</v>
      </c>
      <c r="F38" s="25">
        <f t="shared" si="0"/>
        <v>254786.04</v>
      </c>
      <c r="G38" s="25">
        <f t="shared" si="1"/>
        <v>228975.93</v>
      </c>
      <c r="H38" s="25">
        <f t="shared" si="2"/>
        <v>286124.72292000003</v>
      </c>
      <c r="I38" s="25">
        <f t="shared" si="3"/>
        <v>260900.90496000001</v>
      </c>
      <c r="J38" s="25">
        <f t="shared" si="4"/>
        <v>210955.524309</v>
      </c>
      <c r="K38" s="25">
        <f t="shared" si="5"/>
        <v>308928.86333672405</v>
      </c>
      <c r="L38" s="25">
        <f t="shared" si="6"/>
        <v>296310.76305595203</v>
      </c>
      <c r="M38" s="25">
        <f t="shared" si="7"/>
        <v>232801.877495808</v>
      </c>
      <c r="N38" s="25">
        <f t="shared" si="8"/>
        <v>207453.6626054706</v>
      </c>
      <c r="O38" s="25">
        <f t="shared" si="9"/>
        <v>298209.73436928005</v>
      </c>
      <c r="P38" s="25">
        <f t="shared" si="10"/>
        <v>381218.21735751745</v>
      </c>
      <c r="Q38" s="25">
        <f t="shared" si="11"/>
        <v>3203456.2404097514</v>
      </c>
    </row>
    <row r="39" spans="1:17" x14ac:dyDescent="0.25">
      <c r="A39" s="23">
        <f t="shared" si="12"/>
        <v>100035</v>
      </c>
      <c r="B39" s="29" t="s">
        <v>31</v>
      </c>
      <c r="C39" s="24"/>
      <c r="D39" s="21"/>
      <c r="E39" s="25">
        <v>189500</v>
      </c>
      <c r="F39" s="25">
        <f t="shared" si="0"/>
        <v>203902</v>
      </c>
      <c r="G39" s="25">
        <f t="shared" si="1"/>
        <v>183246.5</v>
      </c>
      <c r="H39" s="25">
        <f t="shared" si="2"/>
        <v>228981.946</v>
      </c>
      <c r="I39" s="25">
        <f t="shared" si="3"/>
        <v>208795.64800000002</v>
      </c>
      <c r="J39" s="25">
        <f t="shared" si="4"/>
        <v>168825.00044999999</v>
      </c>
      <c r="K39" s="25">
        <f t="shared" si="5"/>
        <v>247231.80709620001</v>
      </c>
      <c r="L39" s="25">
        <f t="shared" si="6"/>
        <v>237133.70327760003</v>
      </c>
      <c r="M39" s="25">
        <f t="shared" si="7"/>
        <v>186308.3567104</v>
      </c>
      <c r="N39" s="25">
        <f t="shared" si="8"/>
        <v>166022.50544253</v>
      </c>
      <c r="O39" s="25">
        <f t="shared" si="9"/>
        <v>238653.42566400001</v>
      </c>
      <c r="P39" s="25">
        <f t="shared" si="10"/>
        <v>305084.04995671078</v>
      </c>
      <c r="Q39" s="25">
        <f t="shared" si="11"/>
        <v>2563684.9425974404</v>
      </c>
    </row>
    <row r="40" spans="1:17" x14ac:dyDescent="0.25">
      <c r="A40" s="23">
        <f t="shared" si="12"/>
        <v>100036</v>
      </c>
      <c r="B40" s="29" t="s">
        <v>32</v>
      </c>
      <c r="C40" s="24"/>
      <c r="D40" s="21"/>
      <c r="E40" s="25">
        <v>93600</v>
      </c>
      <c r="F40" s="25">
        <f t="shared" si="0"/>
        <v>100713.60000000001</v>
      </c>
      <c r="G40" s="25">
        <f t="shared" si="1"/>
        <v>90511.2</v>
      </c>
      <c r="H40" s="25">
        <f t="shared" si="2"/>
        <v>113101.37280000001</v>
      </c>
      <c r="I40" s="25">
        <f t="shared" si="3"/>
        <v>103130.72640000001</v>
      </c>
      <c r="J40" s="25">
        <f t="shared" si="4"/>
        <v>83387.968559999994</v>
      </c>
      <c r="K40" s="25">
        <f t="shared" si="5"/>
        <v>122115.55221216002</v>
      </c>
      <c r="L40" s="25">
        <f t="shared" si="6"/>
        <v>117127.78167168002</v>
      </c>
      <c r="M40" s="25">
        <f t="shared" si="7"/>
        <v>92023.547166720004</v>
      </c>
      <c r="N40" s="25">
        <f t="shared" si="8"/>
        <v>82003.728281903997</v>
      </c>
      <c r="O40" s="25">
        <f t="shared" si="9"/>
        <v>117878.42027520001</v>
      </c>
      <c r="P40" s="25">
        <f t="shared" si="10"/>
        <v>150690.59142980547</v>
      </c>
      <c r="Q40" s="25">
        <f t="shared" si="11"/>
        <v>1266284.4887974693</v>
      </c>
    </row>
    <row r="41" spans="1:17" x14ac:dyDescent="0.25">
      <c r="A41" s="23">
        <f t="shared" si="12"/>
        <v>100037</v>
      </c>
      <c r="B41" s="29" t="s">
        <v>33</v>
      </c>
      <c r="C41" s="24"/>
      <c r="D41" s="21"/>
      <c r="E41" s="25">
        <v>103540</v>
      </c>
      <c r="F41" s="25">
        <f t="shared" si="0"/>
        <v>111409.04000000001</v>
      </c>
      <c r="G41" s="25">
        <f t="shared" si="1"/>
        <v>100123.18</v>
      </c>
      <c r="H41" s="25">
        <f t="shared" si="2"/>
        <v>125112.35192000002</v>
      </c>
      <c r="I41" s="25">
        <f t="shared" si="3"/>
        <v>114082.85696</v>
      </c>
      <c r="J41" s="25">
        <f t="shared" si="4"/>
        <v>92243.485733999987</v>
      </c>
      <c r="K41" s="25">
        <f t="shared" si="5"/>
        <v>135083.80636802403</v>
      </c>
      <c r="L41" s="25">
        <f t="shared" si="6"/>
        <v>129566.35164835202</v>
      </c>
      <c r="M41" s="25">
        <f t="shared" si="7"/>
        <v>101796.133265408</v>
      </c>
      <c r="N41" s="25">
        <f t="shared" si="8"/>
        <v>90712.243870815597</v>
      </c>
      <c r="O41" s="25">
        <f t="shared" si="9"/>
        <v>130396.70550528001</v>
      </c>
      <c r="P41" s="25">
        <f t="shared" si="10"/>
        <v>166693.41705814164</v>
      </c>
      <c r="Q41" s="25">
        <f t="shared" si="11"/>
        <v>1400759.5723300213</v>
      </c>
    </row>
    <row r="42" spans="1:17" x14ac:dyDescent="0.25">
      <c r="A42" s="23">
        <f t="shared" si="12"/>
        <v>100038</v>
      </c>
      <c r="B42" s="29" t="s">
        <v>34</v>
      </c>
      <c r="C42" s="24"/>
      <c r="D42" s="21"/>
      <c r="E42" s="25">
        <v>86230</v>
      </c>
      <c r="F42" s="25">
        <f t="shared" si="0"/>
        <v>92783.48000000001</v>
      </c>
      <c r="G42" s="25">
        <f t="shared" si="1"/>
        <v>83384.41</v>
      </c>
      <c r="H42" s="25">
        <f t="shared" si="2"/>
        <v>104195.84804000001</v>
      </c>
      <c r="I42" s="25">
        <f t="shared" si="3"/>
        <v>95010.283520000012</v>
      </c>
      <c r="J42" s="25">
        <f t="shared" si="4"/>
        <v>76822.056933</v>
      </c>
      <c r="K42" s="25">
        <f t="shared" si="5"/>
        <v>112500.25712878803</v>
      </c>
      <c r="L42" s="25">
        <f t="shared" si="6"/>
        <v>107905.22023022402</v>
      </c>
      <c r="M42" s="25">
        <f t="shared" si="7"/>
        <v>84777.675984896006</v>
      </c>
      <c r="N42" s="25">
        <f t="shared" si="8"/>
        <v>75546.810787912211</v>
      </c>
      <c r="O42" s="25">
        <f t="shared" si="9"/>
        <v>108596.75406336001</v>
      </c>
      <c r="P42" s="25">
        <f t="shared" si="10"/>
        <v>138825.31729692442</v>
      </c>
      <c r="Q42" s="25">
        <f t="shared" si="11"/>
        <v>1166578.1139851047</v>
      </c>
    </row>
    <row r="43" spans="1:17" x14ac:dyDescent="0.25">
      <c r="A43" s="23">
        <f t="shared" si="12"/>
        <v>100039</v>
      </c>
      <c r="B43" s="29" t="s">
        <v>35</v>
      </c>
      <c r="C43" s="24"/>
      <c r="D43" s="21"/>
      <c r="E43" s="25">
        <v>47900</v>
      </c>
      <c r="F43" s="25">
        <f t="shared" si="0"/>
        <v>51540.4</v>
      </c>
      <c r="G43" s="25">
        <f t="shared" si="1"/>
        <v>46319.299999999996</v>
      </c>
      <c r="H43" s="25">
        <f t="shared" si="2"/>
        <v>57879.869200000001</v>
      </c>
      <c r="I43" s="25">
        <f t="shared" si="3"/>
        <v>52777.369600000005</v>
      </c>
      <c r="J43" s="25">
        <f t="shared" si="4"/>
        <v>42673.971089999999</v>
      </c>
      <c r="K43" s="25">
        <f t="shared" si="5"/>
        <v>62492.894775240005</v>
      </c>
      <c r="L43" s="25">
        <f t="shared" si="6"/>
        <v>59940.392543520007</v>
      </c>
      <c r="M43" s="25">
        <f t="shared" si="7"/>
        <v>47093.246894080003</v>
      </c>
      <c r="N43" s="25">
        <f t="shared" si="8"/>
        <v>41965.583169906</v>
      </c>
      <c r="O43" s="25">
        <f t="shared" si="9"/>
        <v>60324.533452800009</v>
      </c>
      <c r="P43" s="25">
        <f t="shared" si="10"/>
        <v>77116.23215264616</v>
      </c>
      <c r="Q43" s="25">
        <f t="shared" si="11"/>
        <v>648023.79287819215</v>
      </c>
    </row>
    <row r="44" spans="1:17" x14ac:dyDescent="0.25">
      <c r="A44" s="23">
        <f t="shared" si="12"/>
        <v>100040</v>
      </c>
      <c r="B44" s="29" t="s">
        <v>36</v>
      </c>
      <c r="C44" s="24"/>
      <c r="D44" s="21"/>
      <c r="E44" s="25">
        <v>43210</v>
      </c>
      <c r="F44" s="25">
        <f t="shared" si="0"/>
        <v>46493.960000000006</v>
      </c>
      <c r="G44" s="25">
        <f t="shared" si="1"/>
        <v>41784.07</v>
      </c>
      <c r="H44" s="25">
        <f t="shared" si="2"/>
        <v>52212.717080000009</v>
      </c>
      <c r="I44" s="25">
        <f t="shared" si="3"/>
        <v>47609.815040000009</v>
      </c>
      <c r="J44" s="25">
        <f t="shared" si="4"/>
        <v>38495.663691000002</v>
      </c>
      <c r="K44" s="25">
        <f t="shared" si="5"/>
        <v>56374.070631276016</v>
      </c>
      <c r="L44" s="25">
        <f t="shared" si="6"/>
        <v>54071.489808048012</v>
      </c>
      <c r="M44" s="25">
        <f t="shared" si="7"/>
        <v>42482.237960192004</v>
      </c>
      <c r="N44" s="25">
        <f t="shared" si="8"/>
        <v>37856.635673729405</v>
      </c>
      <c r="O44" s="25">
        <f t="shared" si="9"/>
        <v>54418.018590720014</v>
      </c>
      <c r="P44" s="25">
        <f t="shared" si="10"/>
        <v>69565.603158994607</v>
      </c>
      <c r="Q44" s="25">
        <f t="shared" si="11"/>
        <v>584574.28163396008</v>
      </c>
    </row>
    <row r="45" spans="1:17" x14ac:dyDescent="0.25">
      <c r="A45" s="23">
        <f t="shared" si="12"/>
        <v>100041</v>
      </c>
      <c r="B45" s="29" t="s">
        <v>50</v>
      </c>
      <c r="C45" s="30" t="s">
        <v>96</v>
      </c>
      <c r="D45" s="21"/>
      <c r="E45" s="25">
        <v>38900</v>
      </c>
      <c r="F45" s="25">
        <f t="shared" si="0"/>
        <v>41856.400000000001</v>
      </c>
      <c r="G45" s="25">
        <f t="shared" si="1"/>
        <v>37616.299999999996</v>
      </c>
      <c r="H45" s="25">
        <f t="shared" si="2"/>
        <v>47004.737200000003</v>
      </c>
      <c r="I45" s="25">
        <f t="shared" si="3"/>
        <v>42860.953600000001</v>
      </c>
      <c r="J45" s="25">
        <f t="shared" si="4"/>
        <v>34655.897189999996</v>
      </c>
      <c r="K45" s="25">
        <f t="shared" si="5"/>
        <v>50751.014754840005</v>
      </c>
      <c r="L45" s="25">
        <f t="shared" si="6"/>
        <v>48678.105844320009</v>
      </c>
      <c r="M45" s="25">
        <f t="shared" si="7"/>
        <v>38244.82889728</v>
      </c>
      <c r="N45" s="25">
        <f t="shared" si="8"/>
        <v>34080.609296645998</v>
      </c>
      <c r="O45" s="25">
        <f t="shared" si="9"/>
        <v>48990.069964800001</v>
      </c>
      <c r="P45" s="25">
        <f t="shared" si="10"/>
        <v>62626.752207472564</v>
      </c>
      <c r="Q45" s="25">
        <f t="shared" si="11"/>
        <v>526265.66895535856</v>
      </c>
    </row>
    <row r="46" spans="1:17" x14ac:dyDescent="0.25">
      <c r="A46" s="23">
        <f t="shared" si="12"/>
        <v>100042</v>
      </c>
      <c r="B46" s="29" t="s">
        <v>50</v>
      </c>
      <c r="C46" s="30" t="s">
        <v>97</v>
      </c>
      <c r="D46" s="21"/>
      <c r="E46" s="25">
        <v>45700</v>
      </c>
      <c r="F46" s="25">
        <f t="shared" si="0"/>
        <v>49173.200000000004</v>
      </c>
      <c r="G46" s="25">
        <f t="shared" si="1"/>
        <v>44191.9</v>
      </c>
      <c r="H46" s="25">
        <f t="shared" si="2"/>
        <v>55221.503600000004</v>
      </c>
      <c r="I46" s="25">
        <f t="shared" si="3"/>
        <v>50353.356800000009</v>
      </c>
      <c r="J46" s="25">
        <f t="shared" si="4"/>
        <v>40713.997470000002</v>
      </c>
      <c r="K46" s="25">
        <f t="shared" si="5"/>
        <v>59622.65743692001</v>
      </c>
      <c r="L46" s="25">
        <f t="shared" si="6"/>
        <v>57187.389128160008</v>
      </c>
      <c r="M46" s="25">
        <f t="shared" si="7"/>
        <v>44930.300272640008</v>
      </c>
      <c r="N46" s="25">
        <f t="shared" si="8"/>
        <v>40038.145111998005</v>
      </c>
      <c r="O46" s="25">
        <f t="shared" si="9"/>
        <v>57553.886822400011</v>
      </c>
      <c r="P46" s="25">
        <f t="shared" si="10"/>
        <v>73574.359277159296</v>
      </c>
      <c r="Q46" s="25">
        <f t="shared" si="11"/>
        <v>618260.69591927738</v>
      </c>
    </row>
    <row r="47" spans="1:17" x14ac:dyDescent="0.25">
      <c r="A47" s="23">
        <f t="shared" si="12"/>
        <v>100043</v>
      </c>
      <c r="B47" s="29" t="s">
        <v>51</v>
      </c>
      <c r="C47" s="30" t="s">
        <v>97</v>
      </c>
      <c r="D47" s="21"/>
      <c r="E47" s="25">
        <v>23500</v>
      </c>
      <c r="F47" s="25">
        <f t="shared" si="0"/>
        <v>25286</v>
      </c>
      <c r="G47" s="25">
        <f t="shared" si="1"/>
        <v>22724.5</v>
      </c>
      <c r="H47" s="25">
        <f t="shared" si="2"/>
        <v>28396.178</v>
      </c>
      <c r="I47" s="25">
        <f t="shared" si="3"/>
        <v>25892.864000000001</v>
      </c>
      <c r="J47" s="25">
        <f t="shared" si="4"/>
        <v>20936.081849999999</v>
      </c>
      <c r="K47" s="25">
        <f t="shared" si="5"/>
        <v>30659.353386600003</v>
      </c>
      <c r="L47" s="25">
        <f t="shared" si="6"/>
        <v>29407.081936800001</v>
      </c>
      <c r="M47" s="25">
        <f t="shared" si="7"/>
        <v>23104.202547200002</v>
      </c>
      <c r="N47" s="25">
        <f t="shared" si="8"/>
        <v>20588.542891289999</v>
      </c>
      <c r="O47" s="25">
        <f t="shared" si="9"/>
        <v>29595.543552000003</v>
      </c>
      <c r="P47" s="25">
        <f t="shared" si="10"/>
        <v>37833.642079064404</v>
      </c>
      <c r="Q47" s="25">
        <f t="shared" si="11"/>
        <v>317923.9902429544</v>
      </c>
    </row>
    <row r="48" spans="1:17" x14ac:dyDescent="0.25">
      <c r="A48" s="23">
        <f t="shared" si="12"/>
        <v>100044</v>
      </c>
      <c r="B48" s="29" t="s">
        <v>52</v>
      </c>
      <c r="C48" s="30" t="s">
        <v>98</v>
      </c>
      <c r="D48" s="21"/>
      <c r="E48" s="25">
        <v>19200</v>
      </c>
      <c r="F48" s="25">
        <f t="shared" si="0"/>
        <v>20659.2</v>
      </c>
      <c r="G48" s="25">
        <f t="shared" si="1"/>
        <v>18566.399999999998</v>
      </c>
      <c r="H48" s="25">
        <f t="shared" si="2"/>
        <v>23200.281600000002</v>
      </c>
      <c r="I48" s="25">
        <f t="shared" si="3"/>
        <v>21155.020800000002</v>
      </c>
      <c r="J48" s="25">
        <f t="shared" si="4"/>
        <v>17105.224319999998</v>
      </c>
      <c r="K48" s="25">
        <f t="shared" si="5"/>
        <v>25049.344043520006</v>
      </c>
      <c r="L48" s="25">
        <f t="shared" si="6"/>
        <v>24026.211624960004</v>
      </c>
      <c r="M48" s="25">
        <f t="shared" si="7"/>
        <v>18876.62505984</v>
      </c>
      <c r="N48" s="25">
        <f t="shared" si="8"/>
        <v>16821.277596287997</v>
      </c>
      <c r="O48" s="25">
        <f t="shared" si="9"/>
        <v>24180.188774400001</v>
      </c>
      <c r="P48" s="25">
        <f t="shared" si="10"/>
        <v>30910.890549703687</v>
      </c>
      <c r="Q48" s="25">
        <f t="shared" si="11"/>
        <v>259750.66436871167</v>
      </c>
    </row>
    <row r="49" spans="1:17" x14ac:dyDescent="0.25">
      <c r="A49" s="23">
        <f t="shared" si="12"/>
        <v>100045</v>
      </c>
      <c r="B49" s="29" t="s">
        <v>53</v>
      </c>
      <c r="C49" s="30" t="s">
        <v>99</v>
      </c>
      <c r="D49" s="21"/>
      <c r="E49" s="25">
        <v>21300</v>
      </c>
      <c r="F49" s="25">
        <f t="shared" si="0"/>
        <v>22918.800000000003</v>
      </c>
      <c r="G49" s="25">
        <f t="shared" si="1"/>
        <v>20597.099999999999</v>
      </c>
      <c r="H49" s="25">
        <f t="shared" si="2"/>
        <v>25737.812400000003</v>
      </c>
      <c r="I49" s="25">
        <f t="shared" si="3"/>
        <v>23468.851200000005</v>
      </c>
      <c r="J49" s="25">
        <f t="shared" si="4"/>
        <v>18976.108229999998</v>
      </c>
      <c r="K49" s="25">
        <f t="shared" si="5"/>
        <v>27789.116048280004</v>
      </c>
      <c r="L49" s="25">
        <f t="shared" si="6"/>
        <v>26654.078521440006</v>
      </c>
      <c r="M49" s="25">
        <f t="shared" si="7"/>
        <v>20941.255925760004</v>
      </c>
      <c r="N49" s="25">
        <f t="shared" si="8"/>
        <v>18661.104833382</v>
      </c>
      <c r="O49" s="25">
        <f t="shared" si="9"/>
        <v>26824.896921600004</v>
      </c>
      <c r="P49" s="25">
        <f t="shared" si="10"/>
        <v>34291.769203577525</v>
      </c>
      <c r="Q49" s="25">
        <f t="shared" si="11"/>
        <v>288160.89328403957</v>
      </c>
    </row>
    <row r="50" spans="1:17" x14ac:dyDescent="0.25">
      <c r="A50" s="23">
        <f t="shared" si="12"/>
        <v>100046</v>
      </c>
      <c r="B50" s="29" t="s">
        <v>54</v>
      </c>
      <c r="C50" s="30" t="s">
        <v>99</v>
      </c>
      <c r="D50" s="21"/>
      <c r="E50" s="25">
        <v>16800</v>
      </c>
      <c r="F50" s="25">
        <f t="shared" si="0"/>
        <v>18076.800000000003</v>
      </c>
      <c r="G50" s="25">
        <f t="shared" si="1"/>
        <v>16245.6</v>
      </c>
      <c r="H50" s="25">
        <f t="shared" si="2"/>
        <v>20300.246400000004</v>
      </c>
      <c r="I50" s="25">
        <f t="shared" si="3"/>
        <v>18510.643200000002</v>
      </c>
      <c r="J50" s="25">
        <f t="shared" si="4"/>
        <v>14967.07128</v>
      </c>
      <c r="K50" s="25">
        <f t="shared" si="5"/>
        <v>21918.176038080004</v>
      </c>
      <c r="L50" s="25">
        <f t="shared" si="6"/>
        <v>21022.935171840007</v>
      </c>
      <c r="M50" s="25">
        <f t="shared" si="7"/>
        <v>16517.046927360003</v>
      </c>
      <c r="N50" s="25">
        <f t="shared" si="8"/>
        <v>14718.617896752001</v>
      </c>
      <c r="O50" s="25">
        <f t="shared" si="9"/>
        <v>21157.665177600004</v>
      </c>
      <c r="P50" s="25">
        <f t="shared" si="10"/>
        <v>27047.029230990724</v>
      </c>
      <c r="Q50" s="25">
        <f t="shared" si="11"/>
        <v>227281.83132262272</v>
      </c>
    </row>
    <row r="51" spans="1:17" x14ac:dyDescent="0.25">
      <c r="A51" s="23">
        <f t="shared" si="12"/>
        <v>100047</v>
      </c>
      <c r="B51" s="29" t="s">
        <v>94</v>
      </c>
      <c r="C51" s="30" t="s">
        <v>100</v>
      </c>
      <c r="D51" s="21"/>
      <c r="E51" s="25">
        <v>12300</v>
      </c>
      <c r="F51" s="25">
        <f t="shared" si="0"/>
        <v>13234.800000000001</v>
      </c>
      <c r="G51" s="25">
        <f t="shared" si="1"/>
        <v>11894.1</v>
      </c>
      <c r="H51" s="25">
        <f t="shared" si="2"/>
        <v>14862.680400000001</v>
      </c>
      <c r="I51" s="25">
        <f t="shared" si="3"/>
        <v>13552.435200000002</v>
      </c>
      <c r="J51" s="25">
        <f t="shared" si="4"/>
        <v>10958.03433</v>
      </c>
      <c r="K51" s="25">
        <f t="shared" si="5"/>
        <v>16047.236027880002</v>
      </c>
      <c r="L51" s="25">
        <f t="shared" si="6"/>
        <v>15391.791822240002</v>
      </c>
      <c r="M51" s="25">
        <f t="shared" si="7"/>
        <v>12092.837928960002</v>
      </c>
      <c r="N51" s="25">
        <f t="shared" si="8"/>
        <v>10776.130960122002</v>
      </c>
      <c r="O51" s="25">
        <f t="shared" si="9"/>
        <v>15490.433433600003</v>
      </c>
      <c r="P51" s="25">
        <f t="shared" si="10"/>
        <v>19802.289258403922</v>
      </c>
      <c r="Q51" s="25">
        <f t="shared" si="11"/>
        <v>166402.76936120592</v>
      </c>
    </row>
    <row r="52" spans="1:17" x14ac:dyDescent="0.25">
      <c r="A52" s="23">
        <f t="shared" si="12"/>
        <v>100048</v>
      </c>
      <c r="B52" s="29" t="s">
        <v>95</v>
      </c>
      <c r="C52" s="30" t="s">
        <v>101</v>
      </c>
      <c r="D52" s="21"/>
      <c r="E52" s="25">
        <v>13400</v>
      </c>
      <c r="F52" s="25">
        <f t="shared" si="0"/>
        <v>14418.400000000001</v>
      </c>
      <c r="G52" s="25">
        <f t="shared" si="1"/>
        <v>12957.8</v>
      </c>
      <c r="H52" s="25">
        <f t="shared" si="2"/>
        <v>16191.863200000002</v>
      </c>
      <c r="I52" s="25">
        <f t="shared" si="3"/>
        <v>14764.441600000002</v>
      </c>
      <c r="J52" s="25">
        <f t="shared" si="4"/>
        <v>11938.021139999999</v>
      </c>
      <c r="K52" s="25">
        <f t="shared" si="5"/>
        <v>17482.354697040002</v>
      </c>
      <c r="L52" s="25">
        <f t="shared" si="6"/>
        <v>16768.293529920003</v>
      </c>
      <c r="M52" s="25">
        <f t="shared" si="7"/>
        <v>13174.311239680001</v>
      </c>
      <c r="N52" s="25">
        <f t="shared" si="8"/>
        <v>11739.849989075999</v>
      </c>
      <c r="O52" s="25">
        <f t="shared" si="9"/>
        <v>16875.756748800002</v>
      </c>
      <c r="P52" s="25">
        <f t="shared" si="10"/>
        <v>21573.225696147361</v>
      </c>
      <c r="Q52" s="25">
        <f t="shared" si="11"/>
        <v>181284.31784066337</v>
      </c>
    </row>
    <row r="53" spans="1:17" x14ac:dyDescent="0.25">
      <c r="B53" s="45" t="s">
        <v>123</v>
      </c>
      <c r="D53" s="3"/>
      <c r="E53" s="12">
        <f t="shared" ref="E53:Q53" si="13">COUNT(E5:E10)</f>
        <v>6</v>
      </c>
      <c r="F53" s="12">
        <f t="shared" si="13"/>
        <v>6</v>
      </c>
      <c r="G53" s="12">
        <f t="shared" si="13"/>
        <v>6</v>
      </c>
      <c r="H53" s="12">
        <f t="shared" si="13"/>
        <v>6</v>
      </c>
      <c r="I53" s="12">
        <f t="shared" si="13"/>
        <v>6</v>
      </c>
      <c r="J53" s="12">
        <f t="shared" si="13"/>
        <v>6</v>
      </c>
      <c r="K53" s="12">
        <f t="shared" si="13"/>
        <v>6</v>
      </c>
      <c r="L53" s="12">
        <f t="shared" si="13"/>
        <v>6</v>
      </c>
      <c r="M53" s="12">
        <f t="shared" si="13"/>
        <v>6</v>
      </c>
      <c r="N53" s="12">
        <f t="shared" si="13"/>
        <v>6</v>
      </c>
      <c r="O53" s="12">
        <f t="shared" si="13"/>
        <v>6</v>
      </c>
      <c r="P53" s="12">
        <f t="shared" si="13"/>
        <v>6</v>
      </c>
      <c r="Q53" s="12">
        <f t="shared" si="13"/>
        <v>6</v>
      </c>
    </row>
    <row r="54" spans="1:17" x14ac:dyDescent="0.25">
      <c r="B54" s="45" t="s">
        <v>124</v>
      </c>
      <c r="E54" s="13">
        <f>SUM(E5:E10)</f>
        <v>348769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opLeftCell="A43" workbookViewId="0">
      <selection activeCell="K33" sqref="K33"/>
    </sheetView>
  </sheetViews>
  <sheetFormatPr baseColWidth="10" defaultRowHeight="15" x14ac:dyDescent="0.25"/>
  <cols>
    <col min="1" max="1" width="11.42578125" style="4"/>
    <col min="3" max="3" width="16.7109375" bestFit="1" customWidth="1"/>
    <col min="4" max="4" width="17.28515625" bestFit="1" customWidth="1"/>
    <col min="9" max="9" width="19.140625" customWidth="1"/>
  </cols>
  <sheetData>
    <row r="1" spans="1:13" s="4" customFormat="1" ht="15.75" thickBot="1" x14ac:dyDescent="0.3">
      <c r="A1" s="222" t="s">
        <v>1</v>
      </c>
      <c r="B1" s="223"/>
      <c r="C1" s="61">
        <v>100001</v>
      </c>
      <c r="D1" s="224" t="s">
        <v>49</v>
      </c>
      <c r="E1" s="225"/>
      <c r="F1" s="84" t="s">
        <v>1</v>
      </c>
      <c r="G1" s="91">
        <f>+'VENTAS AÑO ANTERIOR'!A6</f>
        <v>100002</v>
      </c>
      <c r="H1" s="226" t="str">
        <f>+'VENTAS AÑO ANTERIOR'!B6</f>
        <v>BONBOMBUM SIN RELLENO SABORES SURTIDOS</v>
      </c>
      <c r="I1" s="227"/>
      <c r="J1" s="99" t="s">
        <v>1</v>
      </c>
      <c r="K1" s="100">
        <f>+'VENTAS AÑO ANTERIOR'!A7</f>
        <v>100003</v>
      </c>
      <c r="L1" s="228" t="str">
        <f>+'VENTAS AÑO ANTERIOR'!B7</f>
        <v>POLVOS AZUCARADOS BIPBIP FRIO</v>
      </c>
      <c r="M1" s="229"/>
    </row>
    <row r="2" spans="1:13" x14ac:dyDescent="0.25">
      <c r="A2" s="62"/>
      <c r="B2" s="63" t="s">
        <v>125</v>
      </c>
      <c r="C2" s="63" t="s">
        <v>126</v>
      </c>
      <c r="D2" s="63" t="s">
        <v>127</v>
      </c>
      <c r="E2" s="64" t="s">
        <v>128</v>
      </c>
      <c r="F2" s="85" t="s">
        <v>125</v>
      </c>
      <c r="G2" s="86" t="s">
        <v>126</v>
      </c>
      <c r="H2" s="86" t="s">
        <v>127</v>
      </c>
      <c r="I2" s="87" t="s">
        <v>128</v>
      </c>
      <c r="J2" s="101" t="s">
        <v>125</v>
      </c>
      <c r="K2" s="96" t="s">
        <v>126</v>
      </c>
      <c r="L2" s="96" t="s">
        <v>127</v>
      </c>
      <c r="M2" s="97" t="s">
        <v>128</v>
      </c>
    </row>
    <row r="3" spans="1:13" x14ac:dyDescent="0.25">
      <c r="A3" s="62"/>
      <c r="B3" s="65">
        <v>1</v>
      </c>
      <c r="C3" s="65">
        <f>+'VENTAS AÑO ANTERIOR'!E5</f>
        <v>120000</v>
      </c>
      <c r="D3" s="65">
        <f>+B3*B3</f>
        <v>1</v>
      </c>
      <c r="E3" s="66">
        <f>+B3*C3</f>
        <v>120000</v>
      </c>
      <c r="F3" s="88">
        <v>1</v>
      </c>
      <c r="G3" s="89">
        <f>+'VENTAS AÑO ANTERIOR'!E6</f>
        <v>83500</v>
      </c>
      <c r="H3" s="89">
        <f>+F3*F3</f>
        <v>1</v>
      </c>
      <c r="I3" s="92">
        <f>+F3*G3</f>
        <v>83500</v>
      </c>
      <c r="J3" s="102">
        <v>1</v>
      </c>
      <c r="K3" s="98">
        <f>+'VENTAS AÑO ANTERIOR'!E7</f>
        <v>25000</v>
      </c>
      <c r="L3" s="98">
        <f>+J3*J3</f>
        <v>1</v>
      </c>
      <c r="M3" s="103">
        <f>+J3*K3</f>
        <v>25000</v>
      </c>
    </row>
    <row r="4" spans="1:13" x14ac:dyDescent="0.25">
      <c r="A4" s="62"/>
      <c r="B4" s="65">
        <v>2</v>
      </c>
      <c r="C4" s="65">
        <f>+'VENTAS AÑO ANTERIOR'!F5</f>
        <v>129120.00000000001</v>
      </c>
      <c r="D4" s="65">
        <f t="shared" ref="D4:D14" si="0">+B4*B4</f>
        <v>4</v>
      </c>
      <c r="E4" s="66">
        <f t="shared" ref="E4:E14" si="1">+B4*C4</f>
        <v>258240.00000000003</v>
      </c>
      <c r="F4" s="88">
        <v>2</v>
      </c>
      <c r="G4" s="89">
        <f>+'VENTAS AÑO ANTERIOR'!F6</f>
        <v>89846</v>
      </c>
      <c r="H4" s="89">
        <f t="shared" ref="H4:H14" si="2">+F4*F4</f>
        <v>4</v>
      </c>
      <c r="I4" s="92">
        <f t="shared" ref="I4:I14" si="3">+F4*G4</f>
        <v>179692</v>
      </c>
      <c r="J4" s="102">
        <v>2</v>
      </c>
      <c r="K4" s="98">
        <f>+'VENTAS AÑO ANTERIOR'!F7</f>
        <v>26900</v>
      </c>
      <c r="L4" s="98">
        <f t="shared" ref="L4:L14" si="4">+J4*J4</f>
        <v>4</v>
      </c>
      <c r="M4" s="103">
        <f t="shared" ref="M4:M14" si="5">+J4*K4</f>
        <v>53800</v>
      </c>
    </row>
    <row r="5" spans="1:13" x14ac:dyDescent="0.25">
      <c r="A5" s="62"/>
      <c r="B5" s="65">
        <v>3</v>
      </c>
      <c r="C5" s="65">
        <f>+'VENTAS AÑO ANTERIOR'!G5</f>
        <v>116040</v>
      </c>
      <c r="D5" s="65">
        <f t="shared" si="0"/>
        <v>9</v>
      </c>
      <c r="E5" s="66">
        <f t="shared" si="1"/>
        <v>348120</v>
      </c>
      <c r="F5" s="88">
        <v>3</v>
      </c>
      <c r="G5" s="89">
        <f>+'VENTAS AÑO ANTERIOR'!G6</f>
        <v>80744.5</v>
      </c>
      <c r="H5" s="89">
        <f t="shared" si="2"/>
        <v>9</v>
      </c>
      <c r="I5" s="92">
        <f t="shared" si="3"/>
        <v>242233.5</v>
      </c>
      <c r="J5" s="102">
        <v>3</v>
      </c>
      <c r="K5" s="98">
        <f>+'VENTAS AÑO ANTERIOR'!G7</f>
        <v>24175</v>
      </c>
      <c r="L5" s="98">
        <f t="shared" si="4"/>
        <v>9</v>
      </c>
      <c r="M5" s="103">
        <f t="shared" si="5"/>
        <v>72525</v>
      </c>
    </row>
    <row r="6" spans="1:13" x14ac:dyDescent="0.25">
      <c r="A6" s="62"/>
      <c r="B6" s="65">
        <v>4</v>
      </c>
      <c r="C6" s="65">
        <f>+'VENTAS AÑO ANTERIOR'!H5</f>
        <v>145001.76</v>
      </c>
      <c r="D6" s="65">
        <f t="shared" si="0"/>
        <v>16</v>
      </c>
      <c r="E6" s="66">
        <f t="shared" si="1"/>
        <v>580007.04</v>
      </c>
      <c r="F6" s="88">
        <v>4</v>
      </c>
      <c r="G6" s="89">
        <f>+'VENTAS AÑO ANTERIOR'!H6</f>
        <v>100897.058</v>
      </c>
      <c r="H6" s="89">
        <f t="shared" si="2"/>
        <v>16</v>
      </c>
      <c r="I6" s="92">
        <f t="shared" si="3"/>
        <v>403588.23200000002</v>
      </c>
      <c r="J6" s="102">
        <v>4</v>
      </c>
      <c r="K6" s="98">
        <f>+'VENTAS AÑO ANTERIOR'!H7</f>
        <v>30208.7</v>
      </c>
      <c r="L6" s="98">
        <f t="shared" si="4"/>
        <v>16</v>
      </c>
      <c r="M6" s="103">
        <f t="shared" si="5"/>
        <v>120834.8</v>
      </c>
    </row>
    <row r="7" spans="1:13" x14ac:dyDescent="0.25">
      <c r="A7" s="62"/>
      <c r="B7" s="65">
        <v>5</v>
      </c>
      <c r="C7" s="65">
        <f>+'VENTAS AÑO ANTERIOR'!I5</f>
        <v>132218.88</v>
      </c>
      <c r="D7" s="65">
        <f t="shared" si="0"/>
        <v>25</v>
      </c>
      <c r="E7" s="66">
        <f t="shared" si="1"/>
        <v>661094.40000000002</v>
      </c>
      <c r="F7" s="88">
        <v>5</v>
      </c>
      <c r="G7" s="89">
        <f>+'VENTAS AÑO ANTERIOR'!I6</f>
        <v>92002.304000000004</v>
      </c>
      <c r="H7" s="89">
        <f t="shared" si="2"/>
        <v>25</v>
      </c>
      <c r="I7" s="92">
        <f t="shared" si="3"/>
        <v>460011.52000000002</v>
      </c>
      <c r="J7" s="102">
        <v>5</v>
      </c>
      <c r="K7" s="98">
        <f>+'VENTAS AÑO ANTERIOR'!I7</f>
        <v>27545.600000000002</v>
      </c>
      <c r="L7" s="98">
        <f t="shared" si="4"/>
        <v>25</v>
      </c>
      <c r="M7" s="103">
        <f t="shared" si="5"/>
        <v>137728</v>
      </c>
    </row>
    <row r="8" spans="1:13" x14ac:dyDescent="0.25">
      <c r="A8" s="62"/>
      <c r="B8" s="65">
        <v>6</v>
      </c>
      <c r="C8" s="65">
        <f>+'VENTAS AÑO ANTERIOR'!J5</f>
        <v>106907.652</v>
      </c>
      <c r="D8" s="65">
        <f t="shared" si="0"/>
        <v>36</v>
      </c>
      <c r="E8" s="66">
        <f t="shared" si="1"/>
        <v>641445.91200000001</v>
      </c>
      <c r="F8" s="88">
        <v>6</v>
      </c>
      <c r="G8" s="89">
        <f>+'VENTAS AÑO ANTERIOR'!J6</f>
        <v>74389.907850000003</v>
      </c>
      <c r="H8" s="89">
        <f t="shared" si="2"/>
        <v>36</v>
      </c>
      <c r="I8" s="92">
        <f t="shared" si="3"/>
        <v>446339.44709999999</v>
      </c>
      <c r="J8" s="102">
        <v>6</v>
      </c>
      <c r="K8" s="98">
        <f>+'VENTAS AÑO ANTERIOR'!J7</f>
        <v>22272.427500000002</v>
      </c>
      <c r="L8" s="98">
        <f t="shared" si="4"/>
        <v>36</v>
      </c>
      <c r="M8" s="103">
        <f t="shared" si="5"/>
        <v>133634.565</v>
      </c>
    </row>
    <row r="9" spans="1:13" x14ac:dyDescent="0.25">
      <c r="A9" s="62"/>
      <c r="B9" s="65">
        <v>7</v>
      </c>
      <c r="C9" s="65">
        <f>+'VENTAS AÑO ANTERIOR'!K5</f>
        <v>156558.40027200003</v>
      </c>
      <c r="D9" s="65">
        <f t="shared" si="0"/>
        <v>49</v>
      </c>
      <c r="E9" s="66">
        <f t="shared" si="1"/>
        <v>1095908.8019040001</v>
      </c>
      <c r="F9" s="88">
        <v>7</v>
      </c>
      <c r="G9" s="89">
        <f>+'VENTAS AÑO ANTERIOR'!K6</f>
        <v>108938.55352260002</v>
      </c>
      <c r="H9" s="89">
        <f t="shared" si="2"/>
        <v>49</v>
      </c>
      <c r="I9" s="92">
        <f t="shared" si="3"/>
        <v>762569.87465820019</v>
      </c>
      <c r="J9" s="102">
        <v>7</v>
      </c>
      <c r="K9" s="98">
        <f>+'VENTAS AÑO ANTERIOR'!K7</f>
        <v>32616.333390000003</v>
      </c>
      <c r="L9" s="98">
        <f t="shared" si="4"/>
        <v>49</v>
      </c>
      <c r="M9" s="103">
        <f t="shared" si="5"/>
        <v>228314.33373000001</v>
      </c>
    </row>
    <row r="10" spans="1:13" x14ac:dyDescent="0.25">
      <c r="A10" s="62"/>
      <c r="B10" s="65">
        <v>8</v>
      </c>
      <c r="C10" s="65">
        <f>+'VENTAS AÑO ANTERIOR'!L5</f>
        <v>150163.82265600003</v>
      </c>
      <c r="D10" s="65">
        <f t="shared" si="0"/>
        <v>64</v>
      </c>
      <c r="E10" s="66">
        <f t="shared" si="1"/>
        <v>1201310.5812480003</v>
      </c>
      <c r="F10" s="88">
        <v>8</v>
      </c>
      <c r="G10" s="89">
        <f>+'VENTAS AÑO ANTERIOR'!L6</f>
        <v>104488.99326480001</v>
      </c>
      <c r="H10" s="89">
        <f t="shared" si="2"/>
        <v>64</v>
      </c>
      <c r="I10" s="92">
        <f t="shared" si="3"/>
        <v>835911.94611840008</v>
      </c>
      <c r="J10" s="102">
        <v>8</v>
      </c>
      <c r="K10" s="98">
        <f>+'VENTAS AÑO ANTERIOR'!L7</f>
        <v>31284.129720000004</v>
      </c>
      <c r="L10" s="98">
        <f t="shared" si="4"/>
        <v>64</v>
      </c>
      <c r="M10" s="103">
        <f t="shared" si="5"/>
        <v>250273.03776000004</v>
      </c>
    </row>
    <row r="11" spans="1:13" x14ac:dyDescent="0.25">
      <c r="A11" s="62"/>
      <c r="B11" s="65">
        <v>9</v>
      </c>
      <c r="C11" s="65">
        <f>+'VENTAS AÑO ANTERIOR'!M5</f>
        <v>117978.906624</v>
      </c>
      <c r="D11" s="65">
        <f t="shared" si="0"/>
        <v>81</v>
      </c>
      <c r="E11" s="66">
        <f t="shared" si="1"/>
        <v>1061810.159616</v>
      </c>
      <c r="F11" s="88">
        <v>9</v>
      </c>
      <c r="G11" s="89">
        <f>+'VENTAS AÑO ANTERIOR'!M6</f>
        <v>82093.655859200007</v>
      </c>
      <c r="H11" s="89">
        <f t="shared" si="2"/>
        <v>81</v>
      </c>
      <c r="I11" s="92">
        <f t="shared" si="3"/>
        <v>738842.90273280011</v>
      </c>
      <c r="J11" s="102">
        <v>9</v>
      </c>
      <c r="K11" s="98">
        <f>+'VENTAS AÑO ANTERIOR'!M7</f>
        <v>24578.938880000002</v>
      </c>
      <c r="L11" s="98">
        <f t="shared" si="4"/>
        <v>81</v>
      </c>
      <c r="M11" s="103">
        <f t="shared" si="5"/>
        <v>221210.44992000001</v>
      </c>
    </row>
    <row r="12" spans="1:13" x14ac:dyDescent="0.25">
      <c r="A12" s="62"/>
      <c r="B12" s="65">
        <v>10</v>
      </c>
      <c r="C12" s="65">
        <f>+'VENTAS AÑO ANTERIOR'!N5</f>
        <v>105132.98497680001</v>
      </c>
      <c r="D12" s="65">
        <f t="shared" si="0"/>
        <v>100</v>
      </c>
      <c r="E12" s="66">
        <f t="shared" si="1"/>
        <v>1051329.8497680002</v>
      </c>
      <c r="F12" s="88">
        <v>10</v>
      </c>
      <c r="G12" s="89">
        <f>+'VENTAS AÑO ANTERIOR'!N6</f>
        <v>73155.035379690002</v>
      </c>
      <c r="H12" s="89">
        <f t="shared" si="2"/>
        <v>100</v>
      </c>
      <c r="I12" s="92">
        <f t="shared" si="3"/>
        <v>731550.35379690002</v>
      </c>
      <c r="J12" s="102">
        <v>10</v>
      </c>
      <c r="K12" s="98">
        <f>+'VENTAS AÑO ANTERIOR'!N7</f>
        <v>21902.705203500002</v>
      </c>
      <c r="L12" s="98">
        <f t="shared" si="4"/>
        <v>100</v>
      </c>
      <c r="M12" s="103">
        <f t="shared" si="5"/>
        <v>219027.052035</v>
      </c>
    </row>
    <row r="13" spans="1:13" x14ac:dyDescent="0.25">
      <c r="A13" s="62"/>
      <c r="B13" s="65">
        <v>11</v>
      </c>
      <c r="C13" s="65">
        <f>+'VENTAS AÑO ANTERIOR'!O5</f>
        <v>151126.17984</v>
      </c>
      <c r="D13" s="65">
        <f t="shared" si="0"/>
        <v>121</v>
      </c>
      <c r="E13" s="66">
        <f t="shared" si="1"/>
        <v>1662387.9782400001</v>
      </c>
      <c r="F13" s="88">
        <v>11</v>
      </c>
      <c r="G13" s="89">
        <f>+'VENTAS AÑO ANTERIOR'!O6</f>
        <v>105158.633472</v>
      </c>
      <c r="H13" s="89">
        <f t="shared" si="2"/>
        <v>121</v>
      </c>
      <c r="I13" s="92">
        <f t="shared" si="3"/>
        <v>1156744.9681919999</v>
      </c>
      <c r="J13" s="102">
        <v>11</v>
      </c>
      <c r="K13" s="98">
        <f>+'VENTAS AÑO ANTERIOR'!O7</f>
        <v>31484.620800000004</v>
      </c>
      <c r="L13" s="98">
        <f t="shared" si="4"/>
        <v>121</v>
      </c>
      <c r="M13" s="103">
        <f t="shared" si="5"/>
        <v>346330.82880000002</v>
      </c>
    </row>
    <row r="14" spans="1:13" x14ac:dyDescent="0.25">
      <c r="A14" s="62"/>
      <c r="B14" s="65">
        <v>12</v>
      </c>
      <c r="C14" s="65">
        <f>+'VENTAS AÑO ANTERIOR'!P5</f>
        <v>193193.06593564805</v>
      </c>
      <c r="D14" s="65">
        <f t="shared" si="0"/>
        <v>144</v>
      </c>
      <c r="E14" s="66">
        <f t="shared" si="1"/>
        <v>2318316.7912277766</v>
      </c>
      <c r="F14" s="88">
        <v>12</v>
      </c>
      <c r="G14" s="89">
        <f>+'VENTAS AÑO ANTERIOR'!P6</f>
        <v>134430.17504688841</v>
      </c>
      <c r="H14" s="89">
        <f t="shared" si="2"/>
        <v>144</v>
      </c>
      <c r="I14" s="92">
        <f t="shared" si="3"/>
        <v>1613162.100562661</v>
      </c>
      <c r="J14" s="102">
        <v>12</v>
      </c>
      <c r="K14" s="98">
        <f>+'VENTAS AÑO ANTERIOR'!P7</f>
        <v>40248.555403260005</v>
      </c>
      <c r="L14" s="98">
        <f t="shared" si="4"/>
        <v>144</v>
      </c>
      <c r="M14" s="103">
        <f t="shared" si="5"/>
        <v>482982.66483912006</v>
      </c>
    </row>
    <row r="15" spans="1:13" x14ac:dyDescent="0.25">
      <c r="A15" s="67" t="s">
        <v>129</v>
      </c>
      <c r="B15" s="68">
        <v>12</v>
      </c>
      <c r="C15" s="65"/>
      <c r="D15" s="65"/>
      <c r="E15" s="66"/>
      <c r="F15" s="90">
        <v>12</v>
      </c>
      <c r="G15" s="89"/>
      <c r="H15" s="89"/>
      <c r="I15" s="92"/>
      <c r="J15" s="104">
        <v>12</v>
      </c>
      <c r="K15" s="98"/>
      <c r="L15" s="98"/>
      <c r="M15" s="103"/>
    </row>
    <row r="16" spans="1:13" ht="15.75" thickBot="1" x14ac:dyDescent="0.3">
      <c r="A16" s="69" t="s">
        <v>124</v>
      </c>
      <c r="B16" s="70">
        <f>SUM(B3:B14)</f>
        <v>78</v>
      </c>
      <c r="C16" s="70">
        <f t="shared" ref="C16:E16" si="6">SUM(C3:C14)</f>
        <v>1623441.6523044482</v>
      </c>
      <c r="D16" s="70">
        <f t="shared" si="6"/>
        <v>650</v>
      </c>
      <c r="E16" s="71">
        <f t="shared" si="6"/>
        <v>10999971.514003778</v>
      </c>
      <c r="F16" s="95">
        <f>SUM(F3:F14)</f>
        <v>78</v>
      </c>
      <c r="G16" s="93">
        <f t="shared" ref="G16:I16" si="7">SUM(G3:G14)</f>
        <v>1129644.8163951784</v>
      </c>
      <c r="H16" s="93">
        <f t="shared" si="7"/>
        <v>650</v>
      </c>
      <c r="I16" s="94">
        <f t="shared" si="7"/>
        <v>7654146.8451609612</v>
      </c>
      <c r="J16" s="105">
        <f>SUM(J3:J14)</f>
        <v>78</v>
      </c>
      <c r="K16" s="106">
        <f t="shared" ref="K16:M16" si="8">SUM(K3:K14)</f>
        <v>338217.01089675998</v>
      </c>
      <c r="L16" s="106">
        <f t="shared" si="8"/>
        <v>650</v>
      </c>
      <c r="M16" s="107">
        <f t="shared" si="8"/>
        <v>2291660.7320841202</v>
      </c>
    </row>
    <row r="17" spans="1:13" ht="15.75" thickBot="1" x14ac:dyDescent="0.3">
      <c r="A17" s="49"/>
      <c r="B17" s="76"/>
      <c r="C17" s="76"/>
      <c r="D17" s="76"/>
      <c r="E17" s="82"/>
    </row>
    <row r="18" spans="1:13" ht="15.75" thickBot="1" x14ac:dyDescent="0.3">
      <c r="A18" s="230" t="s">
        <v>1</v>
      </c>
      <c r="B18" s="231"/>
      <c r="C18" s="108">
        <f>+'VENTAS AÑO ANTERIOR'!A8</f>
        <v>100004</v>
      </c>
      <c r="D18" s="232" t="str">
        <f>+'VENTAS AÑO ANTERIOR'!B8</f>
        <v>DULCE FRUTICAS</v>
      </c>
      <c r="E18" s="233"/>
      <c r="F18" s="119" t="s">
        <v>1</v>
      </c>
      <c r="G18" s="120">
        <f>+'VENTAS AÑO ANTERIOR'!A9</f>
        <v>100005</v>
      </c>
      <c r="H18" s="234" t="str">
        <f>+'VENTAS AÑO ANTERIOR'!B9</f>
        <v>DULCES DUROS</v>
      </c>
      <c r="I18" s="235"/>
      <c r="J18" s="99" t="s">
        <v>1</v>
      </c>
      <c r="K18" s="100">
        <f>+'VENTAS AÑO ANTERIOR'!A10</f>
        <v>100006</v>
      </c>
      <c r="L18" s="228" t="str">
        <f>+'VENTAS AÑO ANTERIOR'!B10</f>
        <v>DULCES DE CAFÉ</v>
      </c>
      <c r="M18" s="229"/>
    </row>
    <row r="19" spans="1:13" x14ac:dyDescent="0.25">
      <c r="A19" s="109"/>
      <c r="B19" s="110" t="s">
        <v>125</v>
      </c>
      <c r="C19" s="110" t="s">
        <v>126</v>
      </c>
      <c r="D19" s="110" t="s">
        <v>127</v>
      </c>
      <c r="E19" s="111" t="s">
        <v>128</v>
      </c>
      <c r="F19" s="121" t="s">
        <v>125</v>
      </c>
      <c r="G19" s="122" t="s">
        <v>126</v>
      </c>
      <c r="H19" s="122" t="s">
        <v>127</v>
      </c>
      <c r="I19" s="123" t="s">
        <v>128</v>
      </c>
      <c r="J19" s="101" t="s">
        <v>125</v>
      </c>
      <c r="K19" s="96" t="s">
        <v>126</v>
      </c>
      <c r="L19" s="96" t="s">
        <v>127</v>
      </c>
      <c r="M19" s="97" t="s">
        <v>128</v>
      </c>
    </row>
    <row r="20" spans="1:13" x14ac:dyDescent="0.25">
      <c r="A20" s="109"/>
      <c r="B20" s="112">
        <v>1</v>
      </c>
      <c r="C20" s="112">
        <f>+'VENTAS AÑO ANTERIOR'!E8</f>
        <v>46800</v>
      </c>
      <c r="D20" s="112">
        <f>+B20*B20</f>
        <v>1</v>
      </c>
      <c r="E20" s="113">
        <f>+B20*C20</f>
        <v>46800</v>
      </c>
      <c r="F20" s="124">
        <v>1</v>
      </c>
      <c r="G20" s="125">
        <f>+'VENTAS AÑO ANTERIOR'!E9</f>
        <v>34680</v>
      </c>
      <c r="H20" s="125">
        <f>+F20*F20</f>
        <v>1</v>
      </c>
      <c r="I20" s="126">
        <f>+F20*G20</f>
        <v>34680</v>
      </c>
      <c r="J20" s="102">
        <v>1</v>
      </c>
      <c r="K20" s="98">
        <f>+'VENTAS AÑO ANTERIOR'!E10</f>
        <v>38789</v>
      </c>
      <c r="L20" s="98">
        <f>+J20*J20</f>
        <v>1</v>
      </c>
      <c r="M20" s="103">
        <f>+J20*K20</f>
        <v>38789</v>
      </c>
    </row>
    <row r="21" spans="1:13" x14ac:dyDescent="0.25">
      <c r="A21" s="109"/>
      <c r="B21" s="112">
        <v>2</v>
      </c>
      <c r="C21" s="112">
        <f>+'VENTAS AÑO ANTERIOR'!F8</f>
        <v>50356.800000000003</v>
      </c>
      <c r="D21" s="112">
        <f t="shared" ref="D21:D31" si="9">+B21*B21</f>
        <v>4</v>
      </c>
      <c r="E21" s="113">
        <f t="shared" ref="E21:E31" si="10">+B21*C21</f>
        <v>100713.60000000001</v>
      </c>
      <c r="F21" s="124">
        <v>2</v>
      </c>
      <c r="G21" s="125">
        <f>+'VENTAS AÑO ANTERIOR'!F9</f>
        <v>37315.68</v>
      </c>
      <c r="H21" s="125">
        <f t="shared" ref="H21:H31" si="11">+F21*F21</f>
        <v>4</v>
      </c>
      <c r="I21" s="126">
        <f t="shared" ref="I21:I31" si="12">+F21*G21</f>
        <v>74631.360000000001</v>
      </c>
      <c r="J21" s="102">
        <v>2</v>
      </c>
      <c r="K21" s="98">
        <f>+'VENTAS AÑO ANTERIOR'!F10</f>
        <v>41736.964</v>
      </c>
      <c r="L21" s="98">
        <f t="shared" ref="L21:L31" si="13">+J21*J21</f>
        <v>4</v>
      </c>
      <c r="M21" s="103">
        <f t="shared" ref="M21:M31" si="14">+J21*K21</f>
        <v>83473.928</v>
      </c>
    </row>
    <row r="22" spans="1:13" x14ac:dyDescent="0.25">
      <c r="A22" s="109"/>
      <c r="B22" s="112">
        <v>3</v>
      </c>
      <c r="C22" s="112">
        <f>+'VENTAS AÑO ANTERIOR'!G8</f>
        <v>45255.6</v>
      </c>
      <c r="D22" s="112">
        <f t="shared" si="9"/>
        <v>9</v>
      </c>
      <c r="E22" s="113">
        <f t="shared" si="10"/>
        <v>135766.79999999999</v>
      </c>
      <c r="F22" s="124">
        <v>3</v>
      </c>
      <c r="G22" s="125">
        <f>+'VENTAS AÑO ANTERIOR'!G9</f>
        <v>33535.56</v>
      </c>
      <c r="H22" s="125">
        <f t="shared" si="11"/>
        <v>9</v>
      </c>
      <c r="I22" s="126">
        <f t="shared" si="12"/>
        <v>100606.68</v>
      </c>
      <c r="J22" s="102">
        <v>3</v>
      </c>
      <c r="K22" s="98">
        <f>+'VENTAS AÑO ANTERIOR'!G10</f>
        <v>37508.962999999996</v>
      </c>
      <c r="L22" s="98">
        <f t="shared" si="13"/>
        <v>9</v>
      </c>
      <c r="M22" s="103">
        <f t="shared" si="14"/>
        <v>112526.889</v>
      </c>
    </row>
    <row r="23" spans="1:13" x14ac:dyDescent="0.25">
      <c r="A23" s="109"/>
      <c r="B23" s="112">
        <v>4</v>
      </c>
      <c r="C23" s="112">
        <f>+'VENTAS AÑO ANTERIOR'!H8</f>
        <v>56550.686400000006</v>
      </c>
      <c r="D23" s="112">
        <f t="shared" si="9"/>
        <v>16</v>
      </c>
      <c r="E23" s="113">
        <f t="shared" si="10"/>
        <v>226202.74560000002</v>
      </c>
      <c r="F23" s="124">
        <v>4</v>
      </c>
      <c r="G23" s="125">
        <f>+'VENTAS AÑO ANTERIOR'!H9</f>
        <v>41905.50864</v>
      </c>
      <c r="H23" s="125">
        <f t="shared" si="11"/>
        <v>16</v>
      </c>
      <c r="I23" s="126">
        <f t="shared" si="12"/>
        <v>167622.03456</v>
      </c>
      <c r="J23" s="102">
        <v>4</v>
      </c>
      <c r="K23" s="98">
        <f>+'VENTAS AÑO ANTERIOR'!H10</f>
        <v>46870.610571999998</v>
      </c>
      <c r="L23" s="98">
        <f t="shared" si="13"/>
        <v>16</v>
      </c>
      <c r="M23" s="103">
        <f t="shared" si="14"/>
        <v>187482.44228799999</v>
      </c>
    </row>
    <row r="24" spans="1:13" x14ac:dyDescent="0.25">
      <c r="A24" s="109"/>
      <c r="B24" s="112">
        <v>5</v>
      </c>
      <c r="C24" s="112">
        <f>+'VENTAS AÑO ANTERIOR'!I8</f>
        <v>51565.363200000007</v>
      </c>
      <c r="D24" s="112">
        <f t="shared" si="9"/>
        <v>25</v>
      </c>
      <c r="E24" s="113">
        <f t="shared" si="10"/>
        <v>257826.81600000005</v>
      </c>
      <c r="F24" s="124">
        <v>5</v>
      </c>
      <c r="G24" s="125">
        <f>+'VENTAS AÑO ANTERIOR'!I9</f>
        <v>38211.25632</v>
      </c>
      <c r="H24" s="125">
        <f t="shared" si="11"/>
        <v>25</v>
      </c>
      <c r="I24" s="126">
        <f t="shared" si="12"/>
        <v>191056.28159999999</v>
      </c>
      <c r="J24" s="102">
        <v>5</v>
      </c>
      <c r="K24" s="98">
        <f>+'VENTAS AÑO ANTERIOR'!I10</f>
        <v>42738.651136</v>
      </c>
      <c r="L24" s="98">
        <f t="shared" si="13"/>
        <v>25</v>
      </c>
      <c r="M24" s="103">
        <f t="shared" si="14"/>
        <v>213693.25568</v>
      </c>
    </row>
    <row r="25" spans="1:13" x14ac:dyDescent="0.25">
      <c r="A25" s="109"/>
      <c r="B25" s="112">
        <v>6</v>
      </c>
      <c r="C25" s="112">
        <f>+'VENTAS AÑO ANTERIOR'!J8</f>
        <v>41693.984279999997</v>
      </c>
      <c r="D25" s="112">
        <f t="shared" si="9"/>
        <v>36</v>
      </c>
      <c r="E25" s="113">
        <f t="shared" si="10"/>
        <v>250163.90567999997</v>
      </c>
      <c r="F25" s="124">
        <v>6</v>
      </c>
      <c r="G25" s="125">
        <f>+'VENTAS AÑO ANTERIOR'!J9</f>
        <v>30896.311427999997</v>
      </c>
      <c r="H25" s="125">
        <f t="shared" si="11"/>
        <v>36</v>
      </c>
      <c r="I25" s="126">
        <f t="shared" si="12"/>
        <v>185377.86856799998</v>
      </c>
      <c r="J25" s="102">
        <v>6</v>
      </c>
      <c r="K25" s="98">
        <f>+'VENTAS AÑO ANTERIOR'!J10</f>
        <v>34557.007611899993</v>
      </c>
      <c r="L25" s="98">
        <f t="shared" si="13"/>
        <v>36</v>
      </c>
      <c r="M25" s="103">
        <f t="shared" si="14"/>
        <v>207342.04567139997</v>
      </c>
    </row>
    <row r="26" spans="1:13" x14ac:dyDescent="0.25">
      <c r="A26" s="109"/>
      <c r="B26" s="112">
        <v>7</v>
      </c>
      <c r="C26" s="112">
        <f>+'VENTAS AÑO ANTERIOR'!K8</f>
        <v>61057.776106080011</v>
      </c>
      <c r="D26" s="112">
        <f t="shared" si="9"/>
        <v>49</v>
      </c>
      <c r="E26" s="113">
        <f t="shared" si="10"/>
        <v>427404.43274256005</v>
      </c>
      <c r="F26" s="124">
        <v>7</v>
      </c>
      <c r="G26" s="125">
        <f>+'VENTAS AÑO ANTERIOR'!K9</f>
        <v>45245.377678608005</v>
      </c>
      <c r="H26" s="125">
        <f t="shared" si="11"/>
        <v>49</v>
      </c>
      <c r="I26" s="126">
        <f t="shared" si="12"/>
        <v>316717.64375025604</v>
      </c>
      <c r="J26" s="102">
        <v>7</v>
      </c>
      <c r="K26" s="98">
        <f>+'VENTAS AÑO ANTERIOR'!K10</f>
        <v>50606.198234588403</v>
      </c>
      <c r="L26" s="98">
        <f t="shared" si="13"/>
        <v>49</v>
      </c>
      <c r="M26" s="103">
        <f t="shared" si="14"/>
        <v>354243.38764211885</v>
      </c>
    </row>
    <row r="27" spans="1:13" x14ac:dyDescent="0.25">
      <c r="A27" s="109"/>
      <c r="B27" s="112">
        <v>8</v>
      </c>
      <c r="C27" s="112">
        <f>+'VENTAS AÑO ANTERIOR'!L8</f>
        <v>58563.890835840008</v>
      </c>
      <c r="D27" s="112">
        <f t="shared" si="9"/>
        <v>64</v>
      </c>
      <c r="E27" s="113">
        <f t="shared" si="10"/>
        <v>468511.12668672006</v>
      </c>
      <c r="F27" s="124">
        <v>8</v>
      </c>
      <c r="G27" s="125">
        <f>+'VENTAS AÑO ANTERIOR'!L9</f>
        <v>43397.344747584</v>
      </c>
      <c r="H27" s="125">
        <f t="shared" si="11"/>
        <v>64</v>
      </c>
      <c r="I27" s="126">
        <f t="shared" si="12"/>
        <v>347178.757980672</v>
      </c>
      <c r="J27" s="102">
        <v>8</v>
      </c>
      <c r="K27" s="98">
        <f>+'VENTAS AÑO ANTERIOR'!L10</f>
        <v>48539.204308363202</v>
      </c>
      <c r="L27" s="98">
        <f t="shared" si="13"/>
        <v>64</v>
      </c>
      <c r="M27" s="103">
        <f t="shared" si="14"/>
        <v>388313.63446690561</v>
      </c>
    </row>
    <row r="28" spans="1:13" x14ac:dyDescent="0.25">
      <c r="A28" s="109"/>
      <c r="B28" s="112">
        <v>9</v>
      </c>
      <c r="C28" s="112">
        <f>+'VENTAS AÑO ANTERIOR'!M8</f>
        <v>46011.773583360002</v>
      </c>
      <c r="D28" s="112">
        <f t="shared" si="9"/>
        <v>81</v>
      </c>
      <c r="E28" s="113">
        <f t="shared" si="10"/>
        <v>414105.96225024003</v>
      </c>
      <c r="F28" s="124">
        <v>9</v>
      </c>
      <c r="G28" s="125">
        <f>+'VENTAS AÑO ANTERIOR'!M9</f>
        <v>34095.904014335996</v>
      </c>
      <c r="H28" s="125">
        <f t="shared" si="11"/>
        <v>81</v>
      </c>
      <c r="I28" s="126">
        <f t="shared" si="12"/>
        <v>306863.13612902397</v>
      </c>
      <c r="J28" s="102">
        <v>9</v>
      </c>
      <c r="K28" s="98">
        <f>+'VENTAS AÑO ANTERIOR'!M10</f>
        <v>38135.698408652803</v>
      </c>
      <c r="L28" s="98">
        <f t="shared" si="13"/>
        <v>81</v>
      </c>
      <c r="M28" s="103">
        <f t="shared" si="14"/>
        <v>343221.28567787522</v>
      </c>
    </row>
    <row r="29" spans="1:13" x14ac:dyDescent="0.25">
      <c r="A29" s="109"/>
      <c r="B29" s="112">
        <v>10</v>
      </c>
      <c r="C29" s="112">
        <f>+'VENTAS AÑO ANTERIOR'!N8</f>
        <v>41001.864140951999</v>
      </c>
      <c r="D29" s="112">
        <f t="shared" si="9"/>
        <v>100</v>
      </c>
      <c r="E29" s="113">
        <f t="shared" si="10"/>
        <v>410018.64140952</v>
      </c>
      <c r="F29" s="124">
        <v>10</v>
      </c>
      <c r="G29" s="125">
        <f>+'VENTAS AÑO ANTERIOR'!N9</f>
        <v>30383.432658295198</v>
      </c>
      <c r="H29" s="125">
        <f t="shared" si="11"/>
        <v>100</v>
      </c>
      <c r="I29" s="126">
        <f t="shared" si="12"/>
        <v>303834.326582952</v>
      </c>
      <c r="J29" s="102">
        <v>10</v>
      </c>
      <c r="K29" s="98">
        <f>+'VENTAS AÑO ANTERIOR'!N10</f>
        <v>33983.361285542458</v>
      </c>
      <c r="L29" s="98">
        <f t="shared" si="13"/>
        <v>100</v>
      </c>
      <c r="M29" s="103">
        <f t="shared" si="14"/>
        <v>339833.61285542458</v>
      </c>
    </row>
    <row r="30" spans="1:13" x14ac:dyDescent="0.25">
      <c r="A30" s="109"/>
      <c r="B30" s="112">
        <v>11</v>
      </c>
      <c r="C30" s="112">
        <f>+'VENTAS AÑO ANTERIOR'!O8</f>
        <v>58939.210137600006</v>
      </c>
      <c r="D30" s="112">
        <f t="shared" si="9"/>
        <v>121</v>
      </c>
      <c r="E30" s="113">
        <f t="shared" si="10"/>
        <v>648331.31151360006</v>
      </c>
      <c r="F30" s="124">
        <v>11</v>
      </c>
      <c r="G30" s="125">
        <f>+'VENTAS AÑO ANTERIOR'!O9</f>
        <v>43675.465973760001</v>
      </c>
      <c r="H30" s="125">
        <f t="shared" si="11"/>
        <v>121</v>
      </c>
      <c r="I30" s="126">
        <f t="shared" si="12"/>
        <v>480430.12571136001</v>
      </c>
      <c r="J30" s="102">
        <v>11</v>
      </c>
      <c r="K30" s="98">
        <f>+'VENTAS AÑO ANTERIOR'!O10</f>
        <v>48850.278248447998</v>
      </c>
      <c r="L30" s="98">
        <f t="shared" si="13"/>
        <v>121</v>
      </c>
      <c r="M30" s="103">
        <f t="shared" si="14"/>
        <v>537353.06073292799</v>
      </c>
    </row>
    <row r="31" spans="1:13" x14ac:dyDescent="0.25">
      <c r="A31" s="109"/>
      <c r="B31" s="112">
        <v>12</v>
      </c>
      <c r="C31" s="112">
        <f>+'VENTAS AÑO ANTERIOR'!P8</f>
        <v>75345.295714902735</v>
      </c>
      <c r="D31" s="112">
        <f t="shared" si="9"/>
        <v>144</v>
      </c>
      <c r="E31" s="113">
        <f t="shared" si="10"/>
        <v>904143.54857883276</v>
      </c>
      <c r="F31" s="124">
        <v>12</v>
      </c>
      <c r="G31" s="125">
        <f>+'VENTAS AÑO ANTERIOR'!P9</f>
        <v>55832.796055402279</v>
      </c>
      <c r="H31" s="125">
        <f t="shared" si="11"/>
        <v>144</v>
      </c>
      <c r="I31" s="126">
        <f t="shared" si="12"/>
        <v>669993.55266482732</v>
      </c>
      <c r="J31" s="102">
        <v>12</v>
      </c>
      <c r="K31" s="98">
        <f>+'VENTAS AÑO ANTERIOR'!P10</f>
        <v>62448.048621482085</v>
      </c>
      <c r="L31" s="98">
        <f t="shared" si="13"/>
        <v>144</v>
      </c>
      <c r="M31" s="103">
        <f t="shared" si="14"/>
        <v>749376.58345778496</v>
      </c>
    </row>
    <row r="32" spans="1:13" x14ac:dyDescent="0.25">
      <c r="A32" s="114" t="s">
        <v>129</v>
      </c>
      <c r="B32" s="115">
        <v>12</v>
      </c>
      <c r="C32" s="112"/>
      <c r="D32" s="112"/>
      <c r="E32" s="113"/>
      <c r="F32" s="127">
        <v>12</v>
      </c>
      <c r="G32" s="125"/>
      <c r="H32" s="125"/>
      <c r="I32" s="126"/>
      <c r="J32" s="104">
        <v>12</v>
      </c>
      <c r="K32" s="98"/>
      <c r="L32" s="98"/>
      <c r="M32" s="103"/>
    </row>
    <row r="33" spans="1:15" ht="15.75" thickBot="1" x14ac:dyDescent="0.3">
      <c r="A33" s="116" t="s">
        <v>124</v>
      </c>
      <c r="B33" s="117">
        <f>SUM(B20:B31)</f>
        <v>78</v>
      </c>
      <c r="C33" s="117">
        <f t="shared" ref="C33:E33" si="15">SUM(C20:C31)</f>
        <v>633142.24439873465</v>
      </c>
      <c r="D33" s="117">
        <f t="shared" si="15"/>
        <v>650</v>
      </c>
      <c r="E33" s="118">
        <f t="shared" si="15"/>
        <v>4289988.8904614728</v>
      </c>
      <c r="F33" s="128">
        <f>SUM(F20:F31)</f>
        <v>78</v>
      </c>
      <c r="G33" s="129">
        <f t="shared" ref="G33:I33" si="16">SUM(G20:G31)</f>
        <v>469174.63751598547</v>
      </c>
      <c r="H33" s="129">
        <f t="shared" si="16"/>
        <v>650</v>
      </c>
      <c r="I33" s="130">
        <f t="shared" si="16"/>
        <v>3178991.7675470915</v>
      </c>
      <c r="J33" s="105">
        <f>SUM(J20:J31)</f>
        <v>78</v>
      </c>
      <c r="K33" s="106">
        <f t="shared" ref="K33:M33" si="17">SUM(K20:K31)</f>
        <v>524763.98542697681</v>
      </c>
      <c r="L33" s="106">
        <f t="shared" si="17"/>
        <v>650</v>
      </c>
      <c r="M33" s="107">
        <f t="shared" si="17"/>
        <v>3555649.1254724367</v>
      </c>
    </row>
    <row r="34" spans="1:15" ht="15.75" thickBot="1" x14ac:dyDescent="0.3"/>
    <row r="35" spans="1:15" ht="15.75" thickBot="1" x14ac:dyDescent="0.3">
      <c r="B35" s="55" t="s">
        <v>130</v>
      </c>
      <c r="C35" s="56" t="s">
        <v>126</v>
      </c>
      <c r="D35" s="56" t="s">
        <v>131</v>
      </c>
      <c r="E35" s="56" t="s">
        <v>125</v>
      </c>
      <c r="F35" s="57" t="s">
        <v>132</v>
      </c>
    </row>
    <row r="36" spans="1:15" ht="15.75" thickBot="1" x14ac:dyDescent="0.3"/>
    <row r="37" spans="1:15" x14ac:dyDescent="0.25">
      <c r="A37" s="81">
        <f>+C1</f>
        <v>100001</v>
      </c>
      <c r="B37" s="74" t="str">
        <f>+D1</f>
        <v>BONBOMBUM</v>
      </c>
      <c r="C37" s="74"/>
      <c r="D37" s="74"/>
      <c r="E37" s="74"/>
      <c r="F37" s="74"/>
      <c r="G37" s="75"/>
      <c r="I37" s="81">
        <f>+G1</f>
        <v>100002</v>
      </c>
      <c r="J37" s="74" t="str">
        <f>+H1</f>
        <v>BONBOMBUM SIN RELLENO SABORES SURTIDOS</v>
      </c>
      <c r="K37" s="74"/>
      <c r="L37" s="74"/>
      <c r="M37" s="74"/>
      <c r="N37" s="74"/>
      <c r="O37" s="75"/>
    </row>
    <row r="38" spans="1:15" x14ac:dyDescent="0.25">
      <c r="A38" s="46"/>
      <c r="B38" s="2"/>
      <c r="C38" s="2"/>
      <c r="D38" s="2"/>
      <c r="E38" s="2"/>
      <c r="F38" s="2"/>
      <c r="G38" s="48"/>
      <c r="I38" s="46"/>
      <c r="J38" s="2"/>
      <c r="K38" s="2"/>
      <c r="L38" s="2"/>
      <c r="M38" s="2"/>
      <c r="N38" s="2"/>
      <c r="O38" s="48"/>
    </row>
    <row r="39" spans="1:15" x14ac:dyDescent="0.25">
      <c r="A39" s="46">
        <v>1</v>
      </c>
      <c r="B39" s="50">
        <f>+C16</f>
        <v>1623441.6523044482</v>
      </c>
      <c r="C39" s="2" t="s">
        <v>131</v>
      </c>
      <c r="D39" s="50">
        <f>+B16</f>
        <v>78</v>
      </c>
      <c r="E39" s="50">
        <f>+B32</f>
        <v>12</v>
      </c>
      <c r="F39" s="2" t="s">
        <v>132</v>
      </c>
      <c r="G39" s="48">
        <f>+-E40/E39</f>
        <v>-6.5</v>
      </c>
      <c r="I39" s="46">
        <v>1</v>
      </c>
      <c r="J39" s="50">
        <f>+G16</f>
        <v>1129644.8163951784</v>
      </c>
      <c r="K39" s="2" t="s">
        <v>131</v>
      </c>
      <c r="L39" s="50">
        <f>+F16</f>
        <v>78</v>
      </c>
      <c r="M39" s="50">
        <f>+J32</f>
        <v>12</v>
      </c>
      <c r="N39" s="2" t="s">
        <v>132</v>
      </c>
      <c r="O39" s="48">
        <f>+-M40/M39</f>
        <v>-6.5</v>
      </c>
    </row>
    <row r="40" spans="1:15" x14ac:dyDescent="0.25">
      <c r="A40" s="46">
        <v>2</v>
      </c>
      <c r="B40" s="50">
        <f>+E16</f>
        <v>10999971.514003778</v>
      </c>
      <c r="C40" s="2" t="s">
        <v>131</v>
      </c>
      <c r="D40" s="50">
        <f>+D16</f>
        <v>650</v>
      </c>
      <c r="E40" s="50">
        <f>+B16</f>
        <v>78</v>
      </c>
      <c r="F40" s="2" t="s">
        <v>132</v>
      </c>
      <c r="G40" s="48"/>
      <c r="I40" s="46">
        <v>2</v>
      </c>
      <c r="J40" s="50">
        <f>+I16</f>
        <v>7654146.8451609612</v>
      </c>
      <c r="K40" s="2" t="s">
        <v>131</v>
      </c>
      <c r="L40" s="50">
        <f>+H16</f>
        <v>650</v>
      </c>
      <c r="M40" s="50">
        <f>+F16</f>
        <v>78</v>
      </c>
      <c r="N40" s="2" t="s">
        <v>132</v>
      </c>
      <c r="O40" s="48"/>
    </row>
    <row r="41" spans="1:15" x14ac:dyDescent="0.25">
      <c r="A41" s="46"/>
      <c r="B41" s="2"/>
      <c r="C41" s="2"/>
      <c r="D41" s="2"/>
      <c r="E41" s="2"/>
      <c r="F41" s="2"/>
      <c r="G41" s="48"/>
      <c r="I41" s="46"/>
      <c r="J41" s="2"/>
      <c r="K41" s="2"/>
      <c r="L41" s="2"/>
      <c r="M41" s="2"/>
      <c r="N41" s="2"/>
      <c r="O41" s="48"/>
    </row>
    <row r="42" spans="1:15" x14ac:dyDescent="0.25">
      <c r="A42" s="46"/>
      <c r="B42" s="2" t="s">
        <v>133</v>
      </c>
      <c r="C42" s="2"/>
      <c r="D42" s="2"/>
      <c r="E42" s="2"/>
      <c r="F42" s="2"/>
      <c r="G42" s="48"/>
      <c r="I42" s="46"/>
      <c r="J42" s="2" t="s">
        <v>133</v>
      </c>
      <c r="K42" s="2"/>
      <c r="L42" s="2"/>
      <c r="M42" s="2"/>
      <c r="N42" s="2"/>
      <c r="O42" s="48"/>
    </row>
    <row r="43" spans="1:15" x14ac:dyDescent="0.25">
      <c r="A43" s="46"/>
      <c r="B43" s="50">
        <f>+B39*G39</f>
        <v>-10552370.739978913</v>
      </c>
      <c r="C43" s="2" t="s">
        <v>131</v>
      </c>
      <c r="D43" s="2">
        <f>+D39*G39</f>
        <v>-507</v>
      </c>
      <c r="E43" s="2">
        <f>+E39*G39</f>
        <v>-78</v>
      </c>
      <c r="F43" s="2" t="s">
        <v>132</v>
      </c>
      <c r="G43" s="48"/>
      <c r="I43" s="46"/>
      <c r="J43" s="50">
        <f>+J39*O39</f>
        <v>-7342691.3065686598</v>
      </c>
      <c r="K43" s="2" t="s">
        <v>131</v>
      </c>
      <c r="L43" s="2">
        <f>+L39*O39</f>
        <v>-507</v>
      </c>
      <c r="M43" s="2">
        <f>+M39*O39</f>
        <v>-78</v>
      </c>
      <c r="N43" s="2" t="s">
        <v>132</v>
      </c>
      <c r="O43" s="48"/>
    </row>
    <row r="44" spans="1:15" x14ac:dyDescent="0.25">
      <c r="A44" s="46"/>
      <c r="B44" s="50">
        <f>+B40</f>
        <v>10999971.514003778</v>
      </c>
      <c r="C44" s="2" t="s">
        <v>131</v>
      </c>
      <c r="D44" s="50">
        <f>+D40</f>
        <v>650</v>
      </c>
      <c r="E44" s="50">
        <f>+E40</f>
        <v>78</v>
      </c>
      <c r="F44" s="2" t="s">
        <v>132</v>
      </c>
      <c r="G44" s="48"/>
      <c r="I44" s="46"/>
      <c r="J44" s="50">
        <f>+J40</f>
        <v>7654146.8451609612</v>
      </c>
      <c r="K44" s="2" t="s">
        <v>131</v>
      </c>
      <c r="L44" s="50">
        <f>+L40</f>
        <v>650</v>
      </c>
      <c r="M44" s="50">
        <f>+M40</f>
        <v>78</v>
      </c>
      <c r="N44" s="2" t="s">
        <v>132</v>
      </c>
      <c r="O44" s="48"/>
    </row>
    <row r="45" spans="1:15" ht="15.75" thickBot="1" x14ac:dyDescent="0.3">
      <c r="A45" s="46"/>
      <c r="B45" s="59">
        <f>SUM(B43:B44)</f>
        <v>447600.77402486466</v>
      </c>
      <c r="C45" s="60">
        <f>+D43+D44</f>
        <v>143</v>
      </c>
      <c r="D45" s="2" t="s">
        <v>131</v>
      </c>
      <c r="E45" s="58"/>
      <c r="F45" s="58"/>
      <c r="G45" s="48"/>
      <c r="I45" s="46"/>
      <c r="J45" s="59">
        <f>SUM(J43:J44)</f>
        <v>311455.53859230131</v>
      </c>
      <c r="K45" s="60">
        <f>+L43+L44</f>
        <v>143</v>
      </c>
      <c r="L45" s="2" t="s">
        <v>131</v>
      </c>
      <c r="M45" s="58"/>
      <c r="N45" s="58"/>
      <c r="O45" s="48"/>
    </row>
    <row r="46" spans="1:15" ht="19.5" thickBot="1" x14ac:dyDescent="0.35">
      <c r="A46" s="46"/>
      <c r="B46" s="2"/>
      <c r="C46" s="72">
        <f>+B45/C45</f>
        <v>3130.0753428312214</v>
      </c>
      <c r="D46" s="73" t="s">
        <v>131</v>
      </c>
      <c r="E46" s="2"/>
      <c r="F46" s="2"/>
      <c r="G46" s="48"/>
      <c r="I46" s="46"/>
      <c r="J46" s="2"/>
      <c r="K46" s="72">
        <f>+J45/K45</f>
        <v>2178.0107593867224</v>
      </c>
      <c r="L46" s="73" t="s">
        <v>131</v>
      </c>
      <c r="M46" s="2"/>
      <c r="N46" s="2"/>
      <c r="O46" s="48"/>
    </row>
    <row r="47" spans="1:15" x14ac:dyDescent="0.25">
      <c r="A47" s="46" t="s">
        <v>134</v>
      </c>
      <c r="B47" s="47"/>
      <c r="C47" s="2"/>
      <c r="D47" s="2"/>
      <c r="E47" s="2"/>
      <c r="F47" s="2"/>
      <c r="G47" s="48"/>
      <c r="I47" s="46" t="s">
        <v>134</v>
      </c>
      <c r="J47" s="47"/>
      <c r="K47" s="2"/>
      <c r="L47" s="2"/>
      <c r="M47" s="2"/>
      <c r="N47" s="2"/>
      <c r="O47" s="48"/>
    </row>
    <row r="48" spans="1:15" x14ac:dyDescent="0.25">
      <c r="A48" s="46"/>
      <c r="B48" s="50">
        <f>+B40</f>
        <v>10999971.514003778</v>
      </c>
      <c r="C48" s="47">
        <f>+C46</f>
        <v>3130.0753428312214</v>
      </c>
      <c r="D48" s="50">
        <f>+D40</f>
        <v>650</v>
      </c>
      <c r="E48" s="50">
        <f>+E40</f>
        <v>78</v>
      </c>
      <c r="F48" s="2" t="str">
        <f>+F40</f>
        <v>Cxy</v>
      </c>
      <c r="G48" s="48"/>
      <c r="I48" s="46"/>
      <c r="J48" s="50">
        <f>+J40</f>
        <v>7654146.8451609612</v>
      </c>
      <c r="K48" s="47">
        <f>+K46</f>
        <v>2178.0107593867224</v>
      </c>
      <c r="L48" s="50">
        <f>+L40</f>
        <v>650</v>
      </c>
      <c r="M48" s="50">
        <f>+M40</f>
        <v>78</v>
      </c>
      <c r="N48" s="2" t="str">
        <f>+N40</f>
        <v>Cxy</v>
      </c>
      <c r="O48" s="48"/>
    </row>
    <row r="49" spans="1:15" x14ac:dyDescent="0.25">
      <c r="A49" s="46"/>
      <c r="B49" s="50">
        <f>+B48</f>
        <v>10999971.514003778</v>
      </c>
      <c r="C49" s="47">
        <f>+C48*D48</f>
        <v>2034548.972840294</v>
      </c>
      <c r="D49" s="2"/>
      <c r="E49" s="50">
        <f>+E48</f>
        <v>78</v>
      </c>
      <c r="F49" s="2" t="str">
        <f>+F48</f>
        <v>Cxy</v>
      </c>
      <c r="G49" s="48"/>
      <c r="I49" s="46"/>
      <c r="J49" s="50">
        <f>+J48</f>
        <v>7654146.8451609612</v>
      </c>
      <c r="K49" s="47">
        <f>+K48*L48</f>
        <v>1415706.9936013694</v>
      </c>
      <c r="L49" s="2"/>
      <c r="M49" s="50">
        <f>+M48</f>
        <v>78</v>
      </c>
      <c r="N49" s="2" t="str">
        <f>+N48</f>
        <v>Cxy</v>
      </c>
      <c r="O49" s="48"/>
    </row>
    <row r="50" spans="1:15" ht="15.75" thickBot="1" x14ac:dyDescent="0.3">
      <c r="A50" s="46"/>
      <c r="B50" s="2"/>
      <c r="C50" s="47">
        <f>+B49-C49</f>
        <v>8965422.5411634836</v>
      </c>
      <c r="D50" s="2" t="s">
        <v>135</v>
      </c>
      <c r="E50" s="50">
        <f>+E49</f>
        <v>78</v>
      </c>
      <c r="F50" s="2" t="str">
        <f>+F49</f>
        <v>Cxy</v>
      </c>
      <c r="G50" s="48"/>
      <c r="I50" s="46"/>
      <c r="J50" s="2"/>
      <c r="K50" s="47">
        <f>+J49-K49</f>
        <v>6238439.8515595915</v>
      </c>
      <c r="L50" s="2" t="s">
        <v>135</v>
      </c>
      <c r="M50" s="50">
        <f>+M49</f>
        <v>78</v>
      </c>
      <c r="N50" s="2" t="str">
        <f>+N49</f>
        <v>Cxy</v>
      </c>
      <c r="O50" s="48"/>
    </row>
    <row r="51" spans="1:15" ht="21.75" thickBot="1" x14ac:dyDescent="0.4">
      <c r="A51" s="46"/>
      <c r="B51" s="2"/>
      <c r="C51" s="2"/>
      <c r="D51" s="78">
        <f>+C50/E50</f>
        <v>114941.31463030107</v>
      </c>
      <c r="E51" s="79" t="s">
        <v>135</v>
      </c>
      <c r="F51" s="80" t="str">
        <f>+F50</f>
        <v>Cxy</v>
      </c>
      <c r="G51" s="48"/>
      <c r="I51" s="46"/>
      <c r="J51" s="2"/>
      <c r="K51" s="2"/>
      <c r="L51" s="78">
        <f>+K50/M50</f>
        <v>79979.998096917843</v>
      </c>
      <c r="M51" s="79" t="s">
        <v>135</v>
      </c>
      <c r="N51" s="80" t="str">
        <f>+N50</f>
        <v>Cxy</v>
      </c>
      <c r="O51" s="48"/>
    </row>
    <row r="52" spans="1:15" ht="21" x14ac:dyDescent="0.35">
      <c r="A52" s="46"/>
      <c r="B52" s="2"/>
      <c r="C52" s="2"/>
      <c r="D52" s="77"/>
      <c r="E52" s="77"/>
      <c r="F52" s="77"/>
      <c r="G52" s="48"/>
      <c r="I52" s="46"/>
      <c r="J52" s="2"/>
      <c r="K52" s="2"/>
      <c r="L52" s="77"/>
      <c r="M52" s="77"/>
      <c r="N52" s="77"/>
      <c r="O52" s="48"/>
    </row>
    <row r="53" spans="1:15" x14ac:dyDescent="0.25">
      <c r="A53" s="46"/>
      <c r="B53" s="2" t="s">
        <v>136</v>
      </c>
      <c r="C53" s="47">
        <f>+C46</f>
        <v>3130.0753428312214</v>
      </c>
      <c r="D53" s="2">
        <v>24</v>
      </c>
      <c r="E53" s="50">
        <f>+D51</f>
        <v>114941.31463030107</v>
      </c>
      <c r="F53" s="2"/>
      <c r="G53" s="48"/>
      <c r="I53" s="46"/>
      <c r="J53" s="2" t="s">
        <v>136</v>
      </c>
      <c r="K53" s="47">
        <f>+K46</f>
        <v>2178.0107593867224</v>
      </c>
      <c r="L53" s="2">
        <v>24</v>
      </c>
      <c r="M53" s="50">
        <f>+L51</f>
        <v>79979.998096917843</v>
      </c>
      <c r="N53" s="2"/>
      <c r="O53" s="48"/>
    </row>
    <row r="54" spans="1:15" x14ac:dyDescent="0.25">
      <c r="A54" s="46"/>
      <c r="B54" s="2"/>
      <c r="C54" s="47">
        <f>+D53*C53</f>
        <v>75121.80822794931</v>
      </c>
      <c r="D54" s="2" t="s">
        <v>137</v>
      </c>
      <c r="E54" s="50">
        <f>+E53</f>
        <v>114941.31463030107</v>
      </c>
      <c r="F54" s="2"/>
      <c r="G54" s="48"/>
      <c r="I54" s="46"/>
      <c r="J54" s="2"/>
      <c r="K54" s="47">
        <f>+L53*K53</f>
        <v>52272.258225281337</v>
      </c>
      <c r="L54" s="2" t="s">
        <v>137</v>
      </c>
      <c r="M54" s="50">
        <f>+M53</f>
        <v>79979.998096917843</v>
      </c>
      <c r="N54" s="2"/>
      <c r="O54" s="48"/>
    </row>
    <row r="55" spans="1:15" ht="15.75" thickBot="1" x14ac:dyDescent="0.3">
      <c r="A55" s="49"/>
      <c r="B55" s="76"/>
      <c r="C55" s="76"/>
      <c r="D55" s="83">
        <f>+C54+E54</f>
        <v>190063.1228582504</v>
      </c>
      <c r="E55" s="76"/>
      <c r="F55" s="76"/>
      <c r="G55" s="82"/>
      <c r="I55" s="49"/>
      <c r="J55" s="76"/>
      <c r="K55" s="76"/>
      <c r="L55" s="83">
        <f>+K54+M54</f>
        <v>132252.25632219919</v>
      </c>
      <c r="M55" s="76"/>
      <c r="N55" s="76"/>
      <c r="O55" s="82"/>
    </row>
    <row r="56" spans="1:15" ht="15.75" thickBot="1" x14ac:dyDescent="0.3"/>
    <row r="57" spans="1:15" x14ac:dyDescent="0.25">
      <c r="A57" s="81">
        <f>+K1</f>
        <v>100003</v>
      </c>
      <c r="B57" s="74" t="str">
        <f>+L1</f>
        <v>POLVOS AZUCARADOS BIPBIP FRIO</v>
      </c>
      <c r="C57" s="74"/>
      <c r="D57" s="74"/>
      <c r="E57" s="74"/>
      <c r="F57" s="74"/>
      <c r="G57" s="75"/>
      <c r="I57" s="81">
        <f>+C18</f>
        <v>100004</v>
      </c>
      <c r="J57" s="74" t="str">
        <f>+D18</f>
        <v>DULCE FRUTICAS</v>
      </c>
      <c r="K57" s="74"/>
      <c r="L57" s="74"/>
      <c r="M57" s="74"/>
      <c r="N57" s="74"/>
      <c r="O57" s="75"/>
    </row>
    <row r="58" spans="1:15" x14ac:dyDescent="0.25">
      <c r="A58" s="46"/>
      <c r="B58" s="2"/>
      <c r="C58" s="2"/>
      <c r="D58" s="2"/>
      <c r="E58" s="2"/>
      <c r="F58" s="2"/>
      <c r="G58" s="48"/>
      <c r="I58" s="46"/>
      <c r="J58" s="2"/>
      <c r="K58" s="2"/>
      <c r="L58" s="2"/>
      <c r="M58" s="2"/>
      <c r="N58" s="2"/>
      <c r="O58" s="48"/>
    </row>
    <row r="59" spans="1:15" x14ac:dyDescent="0.25">
      <c r="A59" s="46">
        <v>1</v>
      </c>
      <c r="B59" s="50">
        <f>+K16</f>
        <v>338217.01089675998</v>
      </c>
      <c r="C59" s="2" t="s">
        <v>131</v>
      </c>
      <c r="D59" s="50">
        <f>+J16</f>
        <v>78</v>
      </c>
      <c r="E59" s="50">
        <f>+J15</f>
        <v>12</v>
      </c>
      <c r="F59" s="2" t="s">
        <v>132</v>
      </c>
      <c r="G59" s="48">
        <f>+-E60/E59</f>
        <v>-6.5</v>
      </c>
      <c r="I59" s="46">
        <v>1</v>
      </c>
      <c r="J59" s="50">
        <f>+C33</f>
        <v>633142.24439873465</v>
      </c>
      <c r="K59" s="2" t="s">
        <v>131</v>
      </c>
      <c r="L59" s="50">
        <f>+B33</f>
        <v>78</v>
      </c>
      <c r="M59" s="50">
        <f>+B32</f>
        <v>12</v>
      </c>
      <c r="N59" s="2" t="s">
        <v>132</v>
      </c>
      <c r="O59" s="48">
        <f>+-M60/M59</f>
        <v>-6.5</v>
      </c>
    </row>
    <row r="60" spans="1:15" x14ac:dyDescent="0.25">
      <c r="A60" s="46">
        <v>2</v>
      </c>
      <c r="B60" s="50">
        <f>+M16</f>
        <v>2291660.7320841202</v>
      </c>
      <c r="C60" s="2" t="s">
        <v>131</v>
      </c>
      <c r="D60" s="50">
        <f>+L16</f>
        <v>650</v>
      </c>
      <c r="E60" s="50">
        <f>+J16</f>
        <v>78</v>
      </c>
      <c r="F60" s="2" t="s">
        <v>132</v>
      </c>
      <c r="G60" s="48"/>
      <c r="I60" s="46">
        <v>2</v>
      </c>
      <c r="J60" s="50">
        <f>+E33</f>
        <v>4289988.8904614728</v>
      </c>
      <c r="K60" s="2" t="s">
        <v>131</v>
      </c>
      <c r="L60" s="50">
        <f>+D33</f>
        <v>650</v>
      </c>
      <c r="M60" s="50">
        <f>+B33</f>
        <v>78</v>
      </c>
      <c r="N60" s="2" t="s">
        <v>132</v>
      </c>
      <c r="O60" s="48"/>
    </row>
    <row r="61" spans="1:15" x14ac:dyDescent="0.25">
      <c r="A61" s="46"/>
      <c r="B61" s="2"/>
      <c r="C61" s="2"/>
      <c r="D61" s="2"/>
      <c r="E61" s="2"/>
      <c r="F61" s="2"/>
      <c r="G61" s="48"/>
      <c r="I61" s="46"/>
      <c r="J61" s="2"/>
      <c r="K61" s="2"/>
      <c r="L61" s="2"/>
      <c r="M61" s="2"/>
      <c r="N61" s="2"/>
      <c r="O61" s="48"/>
    </row>
    <row r="62" spans="1:15" x14ac:dyDescent="0.25">
      <c r="A62" s="46"/>
      <c r="B62" s="2" t="s">
        <v>133</v>
      </c>
      <c r="C62" s="2"/>
      <c r="D62" s="2"/>
      <c r="E62" s="2"/>
      <c r="F62" s="2"/>
      <c r="G62" s="48"/>
      <c r="I62" s="46"/>
      <c r="J62" s="2" t="s">
        <v>133</v>
      </c>
      <c r="K62" s="2"/>
      <c r="L62" s="2"/>
      <c r="M62" s="2"/>
      <c r="N62" s="2"/>
      <c r="O62" s="48"/>
    </row>
    <row r="63" spans="1:15" x14ac:dyDescent="0.25">
      <c r="A63" s="46"/>
      <c r="B63" s="50">
        <f>+B59*G59</f>
        <v>-2198410.5708289398</v>
      </c>
      <c r="C63" s="2" t="s">
        <v>131</v>
      </c>
      <c r="D63" s="2">
        <f>+D59*G59</f>
        <v>-507</v>
      </c>
      <c r="E63" s="2">
        <f>+E59*G59</f>
        <v>-78</v>
      </c>
      <c r="F63" s="2" t="s">
        <v>132</v>
      </c>
      <c r="G63" s="48"/>
      <c r="I63" s="46"/>
      <c r="J63" s="50">
        <f>+J59*O59</f>
        <v>-4115424.5885917754</v>
      </c>
      <c r="K63" s="2" t="s">
        <v>131</v>
      </c>
      <c r="L63" s="2">
        <f>+L59*O59</f>
        <v>-507</v>
      </c>
      <c r="M63" s="2">
        <f>+M59*O59</f>
        <v>-78</v>
      </c>
      <c r="N63" s="2" t="s">
        <v>132</v>
      </c>
      <c r="O63" s="48"/>
    </row>
    <row r="64" spans="1:15" x14ac:dyDescent="0.25">
      <c r="A64" s="46"/>
      <c r="B64" s="50">
        <f>+B60</f>
        <v>2291660.7320841202</v>
      </c>
      <c r="C64" s="2" t="s">
        <v>131</v>
      </c>
      <c r="D64" s="50">
        <f>+D60</f>
        <v>650</v>
      </c>
      <c r="E64" s="50">
        <f>+E60</f>
        <v>78</v>
      </c>
      <c r="F64" s="2" t="s">
        <v>132</v>
      </c>
      <c r="G64" s="48"/>
      <c r="I64" s="46"/>
      <c r="J64" s="50">
        <f>+J60</f>
        <v>4289988.8904614728</v>
      </c>
      <c r="K64" s="2" t="s">
        <v>131</v>
      </c>
      <c r="L64" s="50">
        <f>+L60</f>
        <v>650</v>
      </c>
      <c r="M64" s="50">
        <f>+M60</f>
        <v>78</v>
      </c>
      <c r="N64" s="2" t="s">
        <v>132</v>
      </c>
      <c r="O64" s="48"/>
    </row>
    <row r="65" spans="1:15" ht="15.75" thickBot="1" x14ac:dyDescent="0.3">
      <c r="A65" s="46"/>
      <c r="B65" s="59">
        <f>SUM(B63:B64)</f>
        <v>93250.16125518037</v>
      </c>
      <c r="C65" s="60">
        <f>+D63+D64</f>
        <v>143</v>
      </c>
      <c r="D65" s="2" t="s">
        <v>131</v>
      </c>
      <c r="E65" s="58"/>
      <c r="F65" s="58"/>
      <c r="G65" s="48"/>
      <c r="I65" s="46"/>
      <c r="J65" s="59">
        <f>SUM(J63:J64)</f>
        <v>174564.3018696974</v>
      </c>
      <c r="K65" s="60">
        <f>+L63+L64</f>
        <v>143</v>
      </c>
      <c r="L65" s="2" t="s">
        <v>131</v>
      </c>
      <c r="M65" s="58"/>
      <c r="N65" s="58"/>
      <c r="O65" s="48"/>
    </row>
    <row r="66" spans="1:15" ht="19.5" thickBot="1" x14ac:dyDescent="0.35">
      <c r="A66" s="46"/>
      <c r="B66" s="2"/>
      <c r="C66" s="72">
        <f>+B65/C65</f>
        <v>652.09902975650607</v>
      </c>
      <c r="D66" s="73" t="s">
        <v>131</v>
      </c>
      <c r="E66" s="2"/>
      <c r="F66" s="2"/>
      <c r="G66" s="48"/>
      <c r="I66" s="46"/>
      <c r="J66" s="2"/>
      <c r="K66" s="72">
        <f>+J65/K65</f>
        <v>1220.7293837041777</v>
      </c>
      <c r="L66" s="73" t="s">
        <v>131</v>
      </c>
      <c r="M66" s="2"/>
      <c r="N66" s="2"/>
      <c r="O66" s="48"/>
    </row>
    <row r="67" spans="1:15" x14ac:dyDescent="0.25">
      <c r="A67" s="46" t="s">
        <v>134</v>
      </c>
      <c r="B67" s="47"/>
      <c r="C67" s="2"/>
      <c r="D67" s="2"/>
      <c r="E67" s="2"/>
      <c r="F67" s="2"/>
      <c r="G67" s="48"/>
      <c r="I67" s="46" t="s">
        <v>134</v>
      </c>
      <c r="J67" s="47"/>
      <c r="K67" s="2"/>
      <c r="L67" s="2"/>
      <c r="M67" s="2"/>
      <c r="N67" s="2"/>
      <c r="O67" s="48"/>
    </row>
    <row r="68" spans="1:15" x14ac:dyDescent="0.25">
      <c r="A68" s="46"/>
      <c r="B68" s="50">
        <f>+B60</f>
        <v>2291660.7320841202</v>
      </c>
      <c r="C68" s="47">
        <f>+C66</f>
        <v>652.09902975650607</v>
      </c>
      <c r="D68" s="50">
        <f>+D60</f>
        <v>650</v>
      </c>
      <c r="E68" s="50">
        <f>+E60</f>
        <v>78</v>
      </c>
      <c r="F68" s="2" t="str">
        <f>+F60</f>
        <v>Cxy</v>
      </c>
      <c r="G68" s="48"/>
      <c r="I68" s="46"/>
      <c r="J68" s="50">
        <f>+J60</f>
        <v>4289988.8904614728</v>
      </c>
      <c r="K68" s="47">
        <f>+K66</f>
        <v>1220.7293837041777</v>
      </c>
      <c r="L68" s="50">
        <f>+L60</f>
        <v>650</v>
      </c>
      <c r="M68" s="50">
        <f>+M60</f>
        <v>78</v>
      </c>
      <c r="N68" s="2" t="str">
        <f>+N60</f>
        <v>Cxy</v>
      </c>
      <c r="O68" s="48"/>
    </row>
    <row r="69" spans="1:15" x14ac:dyDescent="0.25">
      <c r="A69" s="46"/>
      <c r="B69" s="50">
        <f>+B68</f>
        <v>2291660.7320841202</v>
      </c>
      <c r="C69" s="47">
        <f>+C68*D68</f>
        <v>423864.36934172892</v>
      </c>
      <c r="D69" s="2"/>
      <c r="E69" s="50">
        <f>+E68</f>
        <v>78</v>
      </c>
      <c r="F69" s="2" t="str">
        <f>+F68</f>
        <v>Cxy</v>
      </c>
      <c r="G69" s="48"/>
      <c r="I69" s="46"/>
      <c r="J69" s="50">
        <f>+J68</f>
        <v>4289988.8904614728</v>
      </c>
      <c r="K69" s="47">
        <f>+K68*L68</f>
        <v>793474.09940771549</v>
      </c>
      <c r="L69" s="2"/>
      <c r="M69" s="50">
        <f>+M68</f>
        <v>78</v>
      </c>
      <c r="N69" s="2" t="str">
        <f>+N68</f>
        <v>Cxy</v>
      </c>
      <c r="O69" s="48"/>
    </row>
    <row r="70" spans="1:15" ht="15.75" thickBot="1" x14ac:dyDescent="0.3">
      <c r="A70" s="46"/>
      <c r="B70" s="2"/>
      <c r="C70" s="47">
        <f>+B69-C69</f>
        <v>1867796.3627423912</v>
      </c>
      <c r="D70" s="2" t="s">
        <v>135</v>
      </c>
      <c r="E70" s="50">
        <f>+E69</f>
        <v>78</v>
      </c>
      <c r="F70" s="2" t="str">
        <f>+F69</f>
        <v>Cxy</v>
      </c>
      <c r="G70" s="48"/>
      <c r="I70" s="46"/>
      <c r="J70" s="2"/>
      <c r="K70" s="47">
        <f>+J69-K69</f>
        <v>3496514.7910537571</v>
      </c>
      <c r="L70" s="2" t="s">
        <v>135</v>
      </c>
      <c r="M70" s="50">
        <f>+M69</f>
        <v>78</v>
      </c>
      <c r="N70" s="2" t="str">
        <f>+N69</f>
        <v>Cxy</v>
      </c>
      <c r="O70" s="48"/>
    </row>
    <row r="71" spans="1:15" ht="21.75" thickBot="1" x14ac:dyDescent="0.4">
      <c r="A71" s="46"/>
      <c r="B71" s="2"/>
      <c r="C71" s="2"/>
      <c r="D71" s="78">
        <f>+C70/E70</f>
        <v>23946.107214646039</v>
      </c>
      <c r="E71" s="79" t="s">
        <v>135</v>
      </c>
      <c r="F71" s="80" t="str">
        <f>+F70</f>
        <v>Cxy</v>
      </c>
      <c r="G71" s="48"/>
      <c r="I71" s="46"/>
      <c r="J71" s="2"/>
      <c r="K71" s="2"/>
      <c r="L71" s="78">
        <f>+K70/M70</f>
        <v>44827.112705817395</v>
      </c>
      <c r="M71" s="79" t="s">
        <v>135</v>
      </c>
      <c r="N71" s="80" t="str">
        <f>+N70</f>
        <v>Cxy</v>
      </c>
      <c r="O71" s="48"/>
    </row>
    <row r="72" spans="1:15" ht="21" x14ac:dyDescent="0.35">
      <c r="A72" s="46"/>
      <c r="B72" s="2"/>
      <c r="C72" s="2"/>
      <c r="D72" s="77"/>
      <c r="E72" s="77"/>
      <c r="F72" s="77"/>
      <c r="G72" s="48"/>
      <c r="I72" s="46"/>
      <c r="J72" s="2"/>
      <c r="K72" s="2"/>
      <c r="L72" s="77"/>
      <c r="M72" s="77"/>
      <c r="N72" s="77"/>
      <c r="O72" s="48"/>
    </row>
    <row r="73" spans="1:15" x14ac:dyDescent="0.25">
      <c r="A73" s="46"/>
      <c r="B73" s="2" t="s">
        <v>136</v>
      </c>
      <c r="C73" s="47">
        <f>+C66</f>
        <v>652.09902975650607</v>
      </c>
      <c r="D73" s="2">
        <v>24</v>
      </c>
      <c r="E73" s="50">
        <f>+D71</f>
        <v>23946.107214646039</v>
      </c>
      <c r="F73" s="2"/>
      <c r="G73" s="48"/>
      <c r="I73" s="46"/>
      <c r="J73" s="2" t="s">
        <v>136</v>
      </c>
      <c r="K73" s="47">
        <f>+K66</f>
        <v>1220.7293837041777</v>
      </c>
      <c r="L73" s="2">
        <v>24</v>
      </c>
      <c r="M73" s="50">
        <f>+L71</f>
        <v>44827.112705817395</v>
      </c>
      <c r="N73" s="2"/>
      <c r="O73" s="48"/>
    </row>
    <row r="74" spans="1:15" x14ac:dyDescent="0.25">
      <c r="A74" s="46"/>
      <c r="B74" s="2"/>
      <c r="C74" s="47">
        <f>+D73*C73</f>
        <v>15650.376714156146</v>
      </c>
      <c r="D74" s="2" t="s">
        <v>137</v>
      </c>
      <c r="E74" s="50">
        <f>+E73</f>
        <v>23946.107214646039</v>
      </c>
      <c r="F74" s="2"/>
      <c r="G74" s="48"/>
      <c r="I74" s="46"/>
      <c r="J74" s="2"/>
      <c r="K74" s="47">
        <f>+L73*K73</f>
        <v>29297.505208900264</v>
      </c>
      <c r="L74" s="2" t="s">
        <v>137</v>
      </c>
      <c r="M74" s="50">
        <f>+M73</f>
        <v>44827.112705817395</v>
      </c>
      <c r="N74" s="2"/>
      <c r="O74" s="48"/>
    </row>
    <row r="75" spans="1:15" ht="15.75" thickBot="1" x14ac:dyDescent="0.3">
      <c r="A75" s="49"/>
      <c r="B75" s="76"/>
      <c r="C75" s="76"/>
      <c r="D75" s="83">
        <f>+C74+E74</f>
        <v>39596.483928802183</v>
      </c>
      <c r="E75" s="76"/>
      <c r="F75" s="76"/>
      <c r="G75" s="82"/>
      <c r="I75" s="49"/>
      <c r="J75" s="76"/>
      <c r="K75" s="76"/>
      <c r="L75" s="83">
        <f>+K74+M74</f>
        <v>74124.617914717659</v>
      </c>
      <c r="M75" s="76"/>
      <c r="N75" s="76"/>
      <c r="O75" s="82"/>
    </row>
    <row r="76" spans="1:15" ht="15.75" thickBot="1" x14ac:dyDescent="0.3"/>
    <row r="77" spans="1:15" x14ac:dyDescent="0.25">
      <c r="A77" s="81">
        <f>+G18</f>
        <v>100005</v>
      </c>
      <c r="B77" s="74" t="str">
        <f>+H18</f>
        <v>DULCES DUROS</v>
      </c>
      <c r="C77" s="74"/>
      <c r="D77" s="74"/>
      <c r="E77" s="74"/>
      <c r="F77" s="74"/>
      <c r="G77" s="75"/>
      <c r="I77" s="81">
        <f>+K18</f>
        <v>100006</v>
      </c>
      <c r="J77" s="74" t="str">
        <f>+L18</f>
        <v>DULCES DE CAFÉ</v>
      </c>
      <c r="K77" s="74"/>
      <c r="L77" s="74"/>
      <c r="M77" s="74"/>
      <c r="N77" s="74"/>
      <c r="O77" s="75"/>
    </row>
    <row r="78" spans="1:15" x14ac:dyDescent="0.25">
      <c r="A78" s="46"/>
      <c r="B78" s="2"/>
      <c r="C78" s="2"/>
      <c r="D78" s="2"/>
      <c r="E78" s="2"/>
      <c r="F78" s="2"/>
      <c r="G78" s="48"/>
      <c r="I78" s="46"/>
      <c r="J78" s="2"/>
      <c r="K78" s="2"/>
      <c r="L78" s="2"/>
      <c r="M78" s="2"/>
      <c r="N78" s="2"/>
      <c r="O78" s="48"/>
    </row>
    <row r="79" spans="1:15" x14ac:dyDescent="0.25">
      <c r="A79" s="46">
        <v>1</v>
      </c>
      <c r="B79" s="50">
        <f>+G33</f>
        <v>469174.63751598547</v>
      </c>
      <c r="C79" s="2" t="s">
        <v>131</v>
      </c>
      <c r="D79" s="50">
        <f>+F33</f>
        <v>78</v>
      </c>
      <c r="E79" s="50">
        <f>+F32</f>
        <v>12</v>
      </c>
      <c r="F79" s="2" t="s">
        <v>132</v>
      </c>
      <c r="G79" s="48">
        <f>+-E80/E79</f>
        <v>-6.5</v>
      </c>
      <c r="I79" s="46">
        <v>1</v>
      </c>
      <c r="J79" s="50">
        <f>+K33</f>
        <v>524763.98542697681</v>
      </c>
      <c r="K79" s="2" t="s">
        <v>131</v>
      </c>
      <c r="L79" s="50">
        <f>+J33</f>
        <v>78</v>
      </c>
      <c r="M79" s="50">
        <f>+J32</f>
        <v>12</v>
      </c>
      <c r="N79" s="2" t="s">
        <v>132</v>
      </c>
      <c r="O79" s="48">
        <f>+-M80/M79</f>
        <v>-6.5</v>
      </c>
    </row>
    <row r="80" spans="1:15" x14ac:dyDescent="0.25">
      <c r="A80" s="46">
        <v>2</v>
      </c>
      <c r="B80" s="50">
        <f>+I33</f>
        <v>3178991.7675470915</v>
      </c>
      <c r="C80" s="2" t="s">
        <v>131</v>
      </c>
      <c r="D80" s="50">
        <f>+H33</f>
        <v>650</v>
      </c>
      <c r="E80" s="50">
        <f>+F33</f>
        <v>78</v>
      </c>
      <c r="F80" s="2" t="s">
        <v>132</v>
      </c>
      <c r="G80" s="48"/>
      <c r="I80" s="46">
        <v>2</v>
      </c>
      <c r="J80" s="50">
        <f>+M33</f>
        <v>3555649.1254724367</v>
      </c>
      <c r="K80" s="2" t="s">
        <v>131</v>
      </c>
      <c r="L80" s="50">
        <f>+L33</f>
        <v>650</v>
      </c>
      <c r="M80" s="50">
        <f>+J33</f>
        <v>78</v>
      </c>
      <c r="N80" s="2" t="s">
        <v>132</v>
      </c>
      <c r="O80" s="48"/>
    </row>
    <row r="81" spans="1:15" x14ac:dyDescent="0.25">
      <c r="A81" s="46"/>
      <c r="B81" s="2"/>
      <c r="C81" s="2"/>
      <c r="D81" s="2"/>
      <c r="E81" s="2"/>
      <c r="F81" s="2"/>
      <c r="G81" s="48"/>
      <c r="I81" s="46"/>
      <c r="J81" s="2"/>
      <c r="K81" s="2"/>
      <c r="L81" s="2"/>
      <c r="M81" s="2"/>
      <c r="N81" s="2"/>
      <c r="O81" s="48"/>
    </row>
    <row r="82" spans="1:15" x14ac:dyDescent="0.25">
      <c r="A82" s="46"/>
      <c r="B82" s="2" t="s">
        <v>133</v>
      </c>
      <c r="C82" s="2"/>
      <c r="D82" s="2"/>
      <c r="E82" s="2"/>
      <c r="F82" s="2"/>
      <c r="G82" s="48"/>
      <c r="I82" s="46"/>
      <c r="J82" s="2" t="s">
        <v>133</v>
      </c>
      <c r="K82" s="2"/>
      <c r="L82" s="2"/>
      <c r="M82" s="2"/>
      <c r="N82" s="2"/>
      <c r="O82" s="48"/>
    </row>
    <row r="83" spans="1:15" x14ac:dyDescent="0.25">
      <c r="A83" s="46"/>
      <c r="B83" s="50">
        <f>+B79*G79</f>
        <v>-3049635.1438539056</v>
      </c>
      <c r="C83" s="2" t="s">
        <v>131</v>
      </c>
      <c r="D83" s="2">
        <f>+D79*G79</f>
        <v>-507</v>
      </c>
      <c r="E83" s="2">
        <f>+E79*G79</f>
        <v>-78</v>
      </c>
      <c r="F83" s="2" t="s">
        <v>132</v>
      </c>
      <c r="G83" s="48"/>
      <c r="I83" s="46"/>
      <c r="J83" s="50">
        <f>+J79*O79</f>
        <v>-3410965.9052753495</v>
      </c>
      <c r="K83" s="2" t="s">
        <v>131</v>
      </c>
      <c r="L83" s="2">
        <f>+L79*O79</f>
        <v>-507</v>
      </c>
      <c r="M83" s="2">
        <f>+M79*O79</f>
        <v>-78</v>
      </c>
      <c r="N83" s="2" t="s">
        <v>132</v>
      </c>
      <c r="O83" s="48"/>
    </row>
    <row r="84" spans="1:15" x14ac:dyDescent="0.25">
      <c r="A84" s="46"/>
      <c r="B84" s="50">
        <f>+B80</f>
        <v>3178991.7675470915</v>
      </c>
      <c r="C84" s="2" t="s">
        <v>131</v>
      </c>
      <c r="D84" s="50">
        <f>+D80</f>
        <v>650</v>
      </c>
      <c r="E84" s="50">
        <f>+E80</f>
        <v>78</v>
      </c>
      <c r="F84" s="2" t="s">
        <v>132</v>
      </c>
      <c r="G84" s="48"/>
      <c r="I84" s="46"/>
      <c r="J84" s="50">
        <f>+J80</f>
        <v>3555649.1254724367</v>
      </c>
      <c r="K84" s="2" t="s">
        <v>131</v>
      </c>
      <c r="L84" s="50">
        <f>+L80</f>
        <v>650</v>
      </c>
      <c r="M84" s="50">
        <f>+M80</f>
        <v>78</v>
      </c>
      <c r="N84" s="2" t="s">
        <v>132</v>
      </c>
      <c r="O84" s="48"/>
    </row>
    <row r="85" spans="1:15" ht="15.75" thickBot="1" x14ac:dyDescent="0.3">
      <c r="A85" s="46"/>
      <c r="B85" s="59">
        <f>SUM(B83:B84)</f>
        <v>129356.62369318586</v>
      </c>
      <c r="C85" s="60">
        <f>+D83+D84</f>
        <v>143</v>
      </c>
      <c r="D85" s="2" t="s">
        <v>131</v>
      </c>
      <c r="E85" s="58"/>
      <c r="F85" s="58"/>
      <c r="G85" s="48"/>
      <c r="I85" s="46"/>
      <c r="J85" s="59">
        <f>SUM(J83:J84)</f>
        <v>144683.22019708715</v>
      </c>
      <c r="K85" s="60">
        <f>+L83+L84</f>
        <v>143</v>
      </c>
      <c r="L85" s="2" t="s">
        <v>131</v>
      </c>
      <c r="M85" s="58"/>
      <c r="N85" s="58"/>
      <c r="O85" s="48"/>
    </row>
    <row r="86" spans="1:15" ht="19.5" thickBot="1" x14ac:dyDescent="0.35">
      <c r="A86" s="46"/>
      <c r="B86" s="2"/>
      <c r="C86" s="72">
        <f>+B85/C85</f>
        <v>904.59177407822278</v>
      </c>
      <c r="D86" s="73" t="s">
        <v>131</v>
      </c>
      <c r="E86" s="2"/>
      <c r="F86" s="2"/>
      <c r="G86" s="48"/>
      <c r="I86" s="46"/>
      <c r="J86" s="2"/>
      <c r="K86" s="72">
        <f>+J85/K85</f>
        <v>1011.770770609001</v>
      </c>
      <c r="L86" s="73" t="s">
        <v>131</v>
      </c>
      <c r="M86" s="2"/>
      <c r="N86" s="2"/>
      <c r="O86" s="48"/>
    </row>
    <row r="87" spans="1:15" x14ac:dyDescent="0.25">
      <c r="A87" s="46" t="s">
        <v>134</v>
      </c>
      <c r="B87" s="47"/>
      <c r="C87" s="2"/>
      <c r="D87" s="2"/>
      <c r="E87" s="2"/>
      <c r="F87" s="2"/>
      <c r="G87" s="48"/>
      <c r="I87" s="46" t="s">
        <v>134</v>
      </c>
      <c r="J87" s="47"/>
      <c r="K87" s="2"/>
      <c r="L87" s="2"/>
      <c r="M87" s="2"/>
      <c r="N87" s="2"/>
      <c r="O87" s="48"/>
    </row>
    <row r="88" spans="1:15" x14ac:dyDescent="0.25">
      <c r="A88" s="46"/>
      <c r="B88" s="50">
        <f>+B80</f>
        <v>3178991.7675470915</v>
      </c>
      <c r="C88" s="47">
        <f>+C86</f>
        <v>904.59177407822278</v>
      </c>
      <c r="D88" s="50">
        <f>+D80</f>
        <v>650</v>
      </c>
      <c r="E88" s="50">
        <f>+E80</f>
        <v>78</v>
      </c>
      <c r="F88" s="2" t="str">
        <f>+F80</f>
        <v>Cxy</v>
      </c>
      <c r="G88" s="48"/>
      <c r="I88" s="46"/>
      <c r="J88" s="50">
        <f>+J80</f>
        <v>3555649.1254724367</v>
      </c>
      <c r="K88" s="47">
        <f>+K86</f>
        <v>1011.770770609001</v>
      </c>
      <c r="L88" s="50">
        <f>+L80</f>
        <v>650</v>
      </c>
      <c r="M88" s="50">
        <f>+M80</f>
        <v>78</v>
      </c>
      <c r="N88" s="2" t="str">
        <f>+N80</f>
        <v>Cxy</v>
      </c>
      <c r="O88" s="48"/>
    </row>
    <row r="89" spans="1:15" x14ac:dyDescent="0.25">
      <c r="A89" s="46"/>
      <c r="B89" s="50">
        <f>+B88</f>
        <v>3178991.7675470915</v>
      </c>
      <c r="C89" s="47">
        <f>+C88*D88</f>
        <v>587984.65315084485</v>
      </c>
      <c r="D89" s="2"/>
      <c r="E89" s="50">
        <f>+E88</f>
        <v>78</v>
      </c>
      <c r="F89" s="2" t="str">
        <f>+F88</f>
        <v>Cxy</v>
      </c>
      <c r="G89" s="48"/>
      <c r="I89" s="46"/>
      <c r="J89" s="50">
        <f>+J88</f>
        <v>3555649.1254724367</v>
      </c>
      <c r="K89" s="47">
        <f>+K88*L88</f>
        <v>657651.00089585071</v>
      </c>
      <c r="L89" s="2"/>
      <c r="M89" s="50">
        <f>+M88</f>
        <v>78</v>
      </c>
      <c r="N89" s="2" t="str">
        <f>+N88</f>
        <v>Cxy</v>
      </c>
      <c r="O89" s="48"/>
    </row>
    <row r="90" spans="1:15" ht="15.75" thickBot="1" x14ac:dyDescent="0.3">
      <c r="A90" s="46"/>
      <c r="B90" s="2"/>
      <c r="C90" s="47">
        <f>+B89-C89</f>
        <v>2591007.1143962466</v>
      </c>
      <c r="D90" s="2" t="s">
        <v>135</v>
      </c>
      <c r="E90" s="50">
        <f>+E89</f>
        <v>78</v>
      </c>
      <c r="F90" s="2" t="str">
        <f>+F89</f>
        <v>Cxy</v>
      </c>
      <c r="G90" s="48"/>
      <c r="I90" s="46"/>
      <c r="J90" s="2"/>
      <c r="K90" s="47">
        <f>+J89-K89</f>
        <v>2897998.1245765858</v>
      </c>
      <c r="L90" s="2" t="s">
        <v>135</v>
      </c>
      <c r="M90" s="50">
        <f>+M89</f>
        <v>78</v>
      </c>
      <c r="N90" s="2" t="str">
        <f>+N89</f>
        <v>Cxy</v>
      </c>
      <c r="O90" s="48"/>
    </row>
    <row r="91" spans="1:15" ht="21.75" thickBot="1" x14ac:dyDescent="0.4">
      <c r="A91" s="46"/>
      <c r="B91" s="2"/>
      <c r="C91" s="2"/>
      <c r="D91" s="78">
        <f>+C90/E90</f>
        <v>33218.039928157006</v>
      </c>
      <c r="E91" s="79" t="s">
        <v>135</v>
      </c>
      <c r="F91" s="80" t="str">
        <f>+F90</f>
        <v>Cxy</v>
      </c>
      <c r="G91" s="48"/>
      <c r="I91" s="46"/>
      <c r="J91" s="2"/>
      <c r="K91" s="2"/>
      <c r="L91" s="78">
        <f>+K90/M90</f>
        <v>37153.822109956229</v>
      </c>
      <c r="M91" s="79" t="s">
        <v>135</v>
      </c>
      <c r="N91" s="80" t="str">
        <f>+N90</f>
        <v>Cxy</v>
      </c>
      <c r="O91" s="48"/>
    </row>
    <row r="92" spans="1:15" ht="21" x14ac:dyDescent="0.35">
      <c r="A92" s="46"/>
      <c r="B92" s="2"/>
      <c r="C92" s="2"/>
      <c r="D92" s="77"/>
      <c r="E92" s="77"/>
      <c r="F92" s="77"/>
      <c r="G92" s="48"/>
      <c r="I92" s="46"/>
      <c r="J92" s="2"/>
      <c r="K92" s="2"/>
      <c r="L92" s="77"/>
      <c r="M92" s="77"/>
      <c r="N92" s="77"/>
      <c r="O92" s="48"/>
    </row>
    <row r="93" spans="1:15" x14ac:dyDescent="0.25">
      <c r="A93" s="46"/>
      <c r="B93" s="2" t="s">
        <v>136</v>
      </c>
      <c r="C93" s="47">
        <f>+C86</f>
        <v>904.59177407822278</v>
      </c>
      <c r="D93" s="2">
        <v>24</v>
      </c>
      <c r="E93" s="50">
        <f>+D91</f>
        <v>33218.039928157006</v>
      </c>
      <c r="F93" s="2"/>
      <c r="G93" s="48"/>
      <c r="I93" s="46"/>
      <c r="J93" s="2" t="s">
        <v>136</v>
      </c>
      <c r="K93" s="47">
        <f>+K86</f>
        <v>1011.770770609001</v>
      </c>
      <c r="L93" s="2">
        <v>24</v>
      </c>
      <c r="M93" s="50">
        <f>+L91</f>
        <v>37153.822109956229</v>
      </c>
      <c r="N93" s="2"/>
      <c r="O93" s="48"/>
    </row>
    <row r="94" spans="1:15" x14ac:dyDescent="0.25">
      <c r="A94" s="46"/>
      <c r="B94" s="2"/>
      <c r="C94" s="47">
        <f>+D93*C93</f>
        <v>21710.202577877346</v>
      </c>
      <c r="D94" s="2" t="s">
        <v>137</v>
      </c>
      <c r="E94" s="50">
        <f>+E93</f>
        <v>33218.039928157006</v>
      </c>
      <c r="F94" s="2"/>
      <c r="G94" s="48"/>
      <c r="I94" s="46"/>
      <c r="J94" s="2"/>
      <c r="K94" s="47">
        <f>+L93*K93</f>
        <v>24282.498494616026</v>
      </c>
      <c r="L94" s="2" t="s">
        <v>137</v>
      </c>
      <c r="M94" s="50">
        <f>+M93</f>
        <v>37153.822109956229</v>
      </c>
      <c r="N94" s="2"/>
      <c r="O94" s="48"/>
    </row>
    <row r="95" spans="1:15" ht="15.75" thickBot="1" x14ac:dyDescent="0.3">
      <c r="A95" s="49"/>
      <c r="B95" s="76"/>
      <c r="C95" s="76"/>
      <c r="D95" s="83">
        <f>+C94+E94</f>
        <v>54928.242506034352</v>
      </c>
      <c r="E95" s="76"/>
      <c r="F95" s="76"/>
      <c r="G95" s="82"/>
      <c r="I95" s="49"/>
      <c r="J95" s="76"/>
      <c r="K95" s="76"/>
      <c r="L95" s="83">
        <f>+K94+M94</f>
        <v>61436.320604572255</v>
      </c>
      <c r="M95" s="76"/>
      <c r="N95" s="76"/>
      <c r="O95" s="82"/>
    </row>
  </sheetData>
  <mergeCells count="8">
    <mergeCell ref="A1:B1"/>
    <mergeCell ref="D1:E1"/>
    <mergeCell ref="H1:I1"/>
    <mergeCell ref="L1:M1"/>
    <mergeCell ref="A18:B18"/>
    <mergeCell ref="D18:E18"/>
    <mergeCell ref="H18:I18"/>
    <mergeCell ref="L18:M18"/>
  </mergeCells>
  <pageMargins left="0.7" right="0.7" top="0.75" bottom="0.75" header="0.3" footer="0.3"/>
  <pageSetup orientation="portrait" r:id="rId1"/>
  <ignoredErrors>
    <ignoredError sqref="K48 K88" formula="1"/>
    <ignoredError sqref="C66 C6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G5" workbookViewId="0">
      <selection activeCell="J17" sqref="J17"/>
    </sheetView>
  </sheetViews>
  <sheetFormatPr baseColWidth="10" defaultRowHeight="15" x14ac:dyDescent="0.25"/>
  <cols>
    <col min="13" max="13" width="11.7109375" customWidth="1"/>
  </cols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B2" sqref="B2"/>
    </sheetView>
  </sheetViews>
  <sheetFormatPr baseColWidth="10" defaultRowHeight="15" x14ac:dyDescent="0.25"/>
  <cols>
    <col min="1" max="1" width="6.85546875" style="4" customWidth="1"/>
    <col min="2" max="2" width="12.5703125" customWidth="1"/>
    <col min="3" max="3" width="6.7109375" customWidth="1"/>
    <col min="5" max="5" width="7.140625" customWidth="1"/>
    <col min="6" max="6" width="12.85546875" customWidth="1"/>
    <col min="7" max="7" width="7" customWidth="1"/>
    <col min="9" max="9" width="7.42578125" customWidth="1"/>
    <col min="11" max="11" width="8.5703125" customWidth="1"/>
  </cols>
  <sheetData>
    <row r="1" spans="1:12" ht="15.75" thickBot="1" x14ac:dyDescent="0.3">
      <c r="B1" t="s">
        <v>144</v>
      </c>
    </row>
    <row r="2" spans="1:12" s="137" customFormat="1" ht="75" x14ac:dyDescent="0.25">
      <c r="A2" s="136">
        <v>100001</v>
      </c>
      <c r="B2" s="136" t="str">
        <f>PROYECCIONES!B37</f>
        <v>BONBOMBUM</v>
      </c>
      <c r="C2" s="136">
        <v>100002</v>
      </c>
      <c r="D2" s="136" t="str">
        <f>+PROYECCIONES!J37</f>
        <v>BONBOMBUM SIN RELLENO SABORES SURTIDOS</v>
      </c>
      <c r="E2" s="136">
        <v>100003</v>
      </c>
      <c r="F2" s="136" t="str">
        <f>+PROYECCIONES!B57</f>
        <v>POLVOS AZUCARADOS BIPBIP FRIO</v>
      </c>
      <c r="G2" s="136">
        <v>100004</v>
      </c>
      <c r="H2" s="136" t="str">
        <f>+PROYECCIONES!J57</f>
        <v>DULCE FRUTICAS</v>
      </c>
      <c r="I2" s="136">
        <v>100005</v>
      </c>
      <c r="J2" s="138" t="str">
        <f>PROYECCIONES!$B$77</f>
        <v>DULCES DUROS</v>
      </c>
      <c r="K2" s="136">
        <v>100006</v>
      </c>
      <c r="L2" s="138" t="str">
        <f>+PROYECCIONES!J77</f>
        <v>DULCES DE CAFÉ</v>
      </c>
    </row>
    <row r="3" spans="1:12" x14ac:dyDescent="0.25">
      <c r="A3" s="134" t="s">
        <v>138</v>
      </c>
      <c r="B3" s="48"/>
      <c r="C3" s="134" t="s">
        <v>145</v>
      </c>
      <c r="D3" s="48"/>
      <c r="E3" s="134" t="s">
        <v>145</v>
      </c>
      <c r="F3" s="48"/>
      <c r="G3" s="134" t="s">
        <v>145</v>
      </c>
      <c r="H3" s="48"/>
      <c r="I3" s="134" t="s">
        <v>145</v>
      </c>
      <c r="J3" s="48"/>
      <c r="K3" s="134" t="s">
        <v>145</v>
      </c>
      <c r="L3" s="48"/>
    </row>
    <row r="4" spans="1:12" x14ac:dyDescent="0.25">
      <c r="A4" s="133">
        <v>13</v>
      </c>
      <c r="B4" s="135">
        <v>155632.29408710694</v>
      </c>
      <c r="C4" s="133" t="s">
        <v>145</v>
      </c>
      <c r="D4" s="135">
        <v>108294.13796894523</v>
      </c>
      <c r="E4" s="133" t="s">
        <v>145</v>
      </c>
      <c r="F4" s="135">
        <v>32423.394601480621</v>
      </c>
      <c r="G4" s="133" t="s">
        <v>145</v>
      </c>
      <c r="H4" s="135">
        <v>60696.594693971703</v>
      </c>
      <c r="I4" s="133" t="s">
        <v>145</v>
      </c>
      <c r="J4" s="135">
        <v>44977.7329911739</v>
      </c>
      <c r="K4" s="133" t="s">
        <v>145</v>
      </c>
      <c r="L4" s="135">
        <v>50306.842127873242</v>
      </c>
    </row>
    <row r="5" spans="1:12" x14ac:dyDescent="0.25">
      <c r="A5" s="133">
        <v>14</v>
      </c>
      <c r="B5" s="135">
        <v>158762.36942993818</v>
      </c>
      <c r="C5" s="133" t="s">
        <v>145</v>
      </c>
      <c r="D5" s="135">
        <v>110472.14872833196</v>
      </c>
      <c r="E5" s="133" t="s">
        <v>145</v>
      </c>
      <c r="F5" s="135">
        <v>33075.493631237128</v>
      </c>
      <c r="G5" s="133" t="s">
        <v>145</v>
      </c>
      <c r="H5" s="135">
        <v>61917.324077675883</v>
      </c>
      <c r="I5" s="133" t="s">
        <v>145</v>
      </c>
      <c r="J5" s="135">
        <v>45882.324765252124</v>
      </c>
      <c r="K5" s="133" t="s">
        <v>145</v>
      </c>
      <c r="L5" s="135">
        <v>51318.612898482243</v>
      </c>
    </row>
    <row r="6" spans="1:12" x14ac:dyDescent="0.25">
      <c r="A6" s="133">
        <v>15</v>
      </c>
      <c r="B6" s="135">
        <v>161892.44477276941</v>
      </c>
      <c r="C6" s="133" t="s">
        <v>145</v>
      </c>
      <c r="D6" s="135">
        <v>112650.15948771869</v>
      </c>
      <c r="E6" s="133" t="s">
        <v>145</v>
      </c>
      <c r="F6" s="135">
        <v>33727.592660993629</v>
      </c>
      <c r="G6" s="133" t="s">
        <v>145</v>
      </c>
      <c r="H6" s="135">
        <v>63138.053461380063</v>
      </c>
      <c r="I6" s="133" t="s">
        <v>145</v>
      </c>
      <c r="J6" s="135">
        <v>46786.916539330348</v>
      </c>
      <c r="K6" s="133" t="s">
        <v>145</v>
      </c>
      <c r="L6" s="135">
        <v>52330.383669091243</v>
      </c>
    </row>
    <row r="7" spans="1:12" x14ac:dyDescent="0.25">
      <c r="A7" s="133">
        <v>16</v>
      </c>
      <c r="B7" s="135">
        <v>165022.52011560061</v>
      </c>
      <c r="C7" s="133" t="s">
        <v>145</v>
      </c>
      <c r="D7" s="135">
        <v>114828.1702471054</v>
      </c>
      <c r="E7" s="133" t="s">
        <v>145</v>
      </c>
      <c r="F7" s="135">
        <v>34379.691690750136</v>
      </c>
      <c r="G7" s="133" t="s">
        <v>145</v>
      </c>
      <c r="H7" s="135">
        <v>64358.782845084235</v>
      </c>
      <c r="I7" s="133" t="s">
        <v>145</v>
      </c>
      <c r="J7" s="135">
        <v>47691.508313408573</v>
      </c>
      <c r="K7" s="133" t="s">
        <v>145</v>
      </c>
      <c r="L7" s="135">
        <v>53342.154439700244</v>
      </c>
    </row>
    <row r="8" spans="1:12" x14ac:dyDescent="0.25">
      <c r="A8" s="133">
        <v>17</v>
      </c>
      <c r="B8" s="135">
        <v>168152.59545843184</v>
      </c>
      <c r="C8" s="133" t="s">
        <v>145</v>
      </c>
      <c r="D8" s="135">
        <v>117006.18100649212</v>
      </c>
      <c r="E8" s="133" t="s">
        <v>145</v>
      </c>
      <c r="F8" s="135">
        <v>35031.790720506644</v>
      </c>
      <c r="G8" s="133" t="s">
        <v>145</v>
      </c>
      <c r="H8" s="135">
        <v>65579.512228788415</v>
      </c>
      <c r="I8" s="133" t="s">
        <v>145</v>
      </c>
      <c r="J8" s="135">
        <v>48596.10008748679</v>
      </c>
      <c r="K8" s="133" t="s">
        <v>145</v>
      </c>
      <c r="L8" s="135">
        <v>54353.925210309244</v>
      </c>
    </row>
    <row r="9" spans="1:12" x14ac:dyDescent="0.25">
      <c r="A9" s="133">
        <v>18</v>
      </c>
      <c r="B9" s="135">
        <v>171282.67080126307</v>
      </c>
      <c r="C9" s="133" t="s">
        <v>145</v>
      </c>
      <c r="D9" s="135">
        <v>119184.19176587884</v>
      </c>
      <c r="E9" s="133" t="s">
        <v>145</v>
      </c>
      <c r="F9" s="135">
        <v>35683.889750263144</v>
      </c>
      <c r="G9" s="133" t="s">
        <v>145</v>
      </c>
      <c r="H9" s="135">
        <v>66800.241612492595</v>
      </c>
      <c r="I9" s="133" t="s">
        <v>145</v>
      </c>
      <c r="J9" s="135">
        <v>49500.691861565014</v>
      </c>
      <c r="K9" s="133" t="s">
        <v>145</v>
      </c>
      <c r="L9" s="135">
        <v>55365.695980918244</v>
      </c>
    </row>
    <row r="10" spans="1:12" x14ac:dyDescent="0.25">
      <c r="A10" s="133">
        <v>19</v>
      </c>
      <c r="B10" s="135">
        <v>174412.74614409427</v>
      </c>
      <c r="C10" s="133" t="s">
        <v>145</v>
      </c>
      <c r="D10" s="135">
        <v>121362.20252526557</v>
      </c>
      <c r="E10" s="133" t="s">
        <v>145</v>
      </c>
      <c r="F10" s="135">
        <v>36335.988780019652</v>
      </c>
      <c r="G10" s="133" t="s">
        <v>145</v>
      </c>
      <c r="H10" s="135">
        <v>68020.970996196775</v>
      </c>
      <c r="I10" s="133" t="s">
        <v>145</v>
      </c>
      <c r="J10" s="135">
        <v>50405.283635643238</v>
      </c>
      <c r="K10" s="133" t="s">
        <v>145</v>
      </c>
      <c r="L10" s="135">
        <v>56377.466751527245</v>
      </c>
    </row>
    <row r="11" spans="1:12" x14ac:dyDescent="0.25">
      <c r="A11" s="133">
        <v>20</v>
      </c>
      <c r="B11" s="135">
        <v>177542.8214869255</v>
      </c>
      <c r="C11" s="133" t="s">
        <v>145</v>
      </c>
      <c r="D11" s="135">
        <v>123540.21328465229</v>
      </c>
      <c r="E11" s="133" t="s">
        <v>145</v>
      </c>
      <c r="F11" s="135">
        <v>36988.08780977616</v>
      </c>
      <c r="G11" s="133" t="s">
        <v>145</v>
      </c>
      <c r="H11" s="135">
        <v>69241.700379900954</v>
      </c>
      <c r="I11" s="133" t="s">
        <v>145</v>
      </c>
      <c r="J11" s="135">
        <v>51309.875409721462</v>
      </c>
      <c r="K11" s="133" t="s">
        <v>145</v>
      </c>
      <c r="L11" s="135">
        <v>57389.237522136245</v>
      </c>
    </row>
    <row r="12" spans="1:12" x14ac:dyDescent="0.25">
      <c r="A12" s="133">
        <v>21</v>
      </c>
      <c r="B12" s="135">
        <v>180672.89682975673</v>
      </c>
      <c r="C12" s="133" t="s">
        <v>145</v>
      </c>
      <c r="D12" s="135">
        <v>125718.22404403902</v>
      </c>
      <c r="E12" s="133" t="s">
        <v>145</v>
      </c>
      <c r="F12" s="135">
        <v>37640.186839532667</v>
      </c>
      <c r="G12" s="133" t="s">
        <v>145</v>
      </c>
      <c r="H12" s="135">
        <v>70462.42976360512</v>
      </c>
      <c r="I12" s="133" t="s">
        <v>145</v>
      </c>
      <c r="J12" s="135">
        <v>52214.467183799687</v>
      </c>
      <c r="K12" s="133" t="s">
        <v>145</v>
      </c>
      <c r="L12" s="135">
        <v>58401.008292745246</v>
      </c>
    </row>
    <row r="13" spans="1:12" x14ac:dyDescent="0.25">
      <c r="A13" s="133">
        <v>22</v>
      </c>
      <c r="B13" s="135">
        <v>183802.97217258794</v>
      </c>
      <c r="C13" s="133" t="s">
        <v>145</v>
      </c>
      <c r="D13" s="135">
        <v>127896.23480342573</v>
      </c>
      <c r="E13" s="133" t="s">
        <v>145</v>
      </c>
      <c r="F13" s="135">
        <v>38292.285869289175</v>
      </c>
      <c r="G13" s="133" t="s">
        <v>145</v>
      </c>
      <c r="H13" s="135">
        <v>71683.159147309314</v>
      </c>
      <c r="I13" s="133" t="s">
        <v>145</v>
      </c>
      <c r="J13" s="135">
        <v>53119.058957877904</v>
      </c>
      <c r="K13" s="133" t="s">
        <v>145</v>
      </c>
      <c r="L13" s="135">
        <v>59412.779063354246</v>
      </c>
    </row>
    <row r="14" spans="1:12" x14ac:dyDescent="0.25">
      <c r="A14" s="133">
        <v>23</v>
      </c>
      <c r="B14" s="135">
        <v>186933.04751541917</v>
      </c>
      <c r="C14" s="133" t="s">
        <v>145</v>
      </c>
      <c r="D14" s="135">
        <v>130074.24556281246</v>
      </c>
      <c r="E14" s="133" t="s">
        <v>145</v>
      </c>
      <c r="F14" s="135">
        <v>38944.384899045675</v>
      </c>
      <c r="G14" s="133" t="s">
        <v>145</v>
      </c>
      <c r="H14" s="135">
        <v>72903.888531013479</v>
      </c>
      <c r="I14" s="133" t="s">
        <v>145</v>
      </c>
      <c r="J14" s="135">
        <v>54023.650731956135</v>
      </c>
      <c r="K14" s="133" t="s">
        <v>145</v>
      </c>
      <c r="L14" s="135">
        <v>60424.549833963254</v>
      </c>
    </row>
    <row r="15" spans="1:12" x14ac:dyDescent="0.25">
      <c r="A15" s="133">
        <v>24</v>
      </c>
      <c r="B15" s="135">
        <v>190063.1228582504</v>
      </c>
      <c r="C15" s="133" t="s">
        <v>145</v>
      </c>
      <c r="D15" s="135">
        <v>132252.25632219919</v>
      </c>
      <c r="E15" s="133" t="s">
        <v>145</v>
      </c>
      <c r="F15" s="135">
        <v>39596.483928802183</v>
      </c>
      <c r="G15" s="133" t="s">
        <v>145</v>
      </c>
      <c r="H15" s="135">
        <v>74124.617914717659</v>
      </c>
      <c r="I15" s="133" t="s">
        <v>145</v>
      </c>
      <c r="J15" s="135">
        <v>54928.242506034352</v>
      </c>
      <c r="K15" s="133" t="s">
        <v>145</v>
      </c>
      <c r="L15" s="135">
        <v>61436.320604572255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workbookViewId="0">
      <selection activeCell="K6" sqref="K6"/>
    </sheetView>
  </sheetViews>
  <sheetFormatPr baseColWidth="10" defaultRowHeight="15" x14ac:dyDescent="0.25"/>
  <cols>
    <col min="1" max="1" width="13.85546875" style="4" customWidth="1"/>
    <col min="4" max="4" width="13.7109375" customWidth="1"/>
    <col min="5" max="5" width="18.140625" customWidth="1"/>
    <col min="7" max="7" width="22.42578125" customWidth="1"/>
    <col min="8" max="8" width="5.5703125" style="4" customWidth="1"/>
    <col min="9" max="9" width="9.5703125" style="4" customWidth="1"/>
    <col min="10" max="10" width="22.42578125" style="4" customWidth="1"/>
    <col min="11" max="11" width="12.5703125" bestFit="1" customWidth="1"/>
  </cols>
  <sheetData>
    <row r="1" spans="1:22" ht="24" thickBot="1" x14ac:dyDescent="0.4">
      <c r="A1" s="239" t="s">
        <v>139</v>
      </c>
      <c r="B1" s="239"/>
      <c r="C1" s="239"/>
      <c r="D1" s="239"/>
      <c r="E1" s="239"/>
      <c r="F1" s="239"/>
      <c r="G1" s="239"/>
      <c r="H1" s="161"/>
      <c r="I1" s="161"/>
      <c r="J1" s="161"/>
      <c r="K1" s="239" t="s">
        <v>139</v>
      </c>
      <c r="L1" s="239"/>
      <c r="M1" s="239"/>
      <c r="N1" s="239"/>
      <c r="O1" s="239"/>
      <c r="P1" s="239"/>
      <c r="Q1" s="239"/>
    </row>
    <row r="2" spans="1:22" ht="15.75" thickBot="1" x14ac:dyDescent="0.3">
      <c r="A2" s="81"/>
      <c r="B2" s="153" t="s">
        <v>138</v>
      </c>
      <c r="C2" s="153" t="s">
        <v>140</v>
      </c>
      <c r="D2" s="154" t="s">
        <v>152</v>
      </c>
      <c r="E2" s="153" t="s">
        <v>141</v>
      </c>
      <c r="F2" s="153" t="s">
        <v>142</v>
      </c>
      <c r="G2" s="155" t="s">
        <v>143</v>
      </c>
      <c r="H2" s="2"/>
      <c r="I2" s="149" t="s">
        <v>154</v>
      </c>
      <c r="J2" s="149" t="s">
        <v>1</v>
      </c>
      <c r="K2" s="133" t="s">
        <v>107</v>
      </c>
      <c r="L2" s="133" t="s">
        <v>108</v>
      </c>
      <c r="M2" s="133" t="s">
        <v>109</v>
      </c>
      <c r="N2" s="133" t="s">
        <v>110</v>
      </c>
      <c r="O2" s="133" t="s">
        <v>111</v>
      </c>
      <c r="P2" s="133" t="s">
        <v>112</v>
      </c>
      <c r="Q2" s="133" t="s">
        <v>153</v>
      </c>
      <c r="R2" s="133" t="s">
        <v>114</v>
      </c>
      <c r="S2" s="133" t="s">
        <v>115</v>
      </c>
      <c r="T2" s="133" t="s">
        <v>116</v>
      </c>
      <c r="U2" s="133" t="s">
        <v>117</v>
      </c>
      <c r="V2" s="133" t="s">
        <v>118</v>
      </c>
    </row>
    <row r="3" spans="1:22" s="4" customFormat="1" ht="15" customHeight="1" x14ac:dyDescent="0.25">
      <c r="A3" s="236" t="s">
        <v>146</v>
      </c>
      <c r="B3" s="46">
        <v>10</v>
      </c>
      <c r="C3" s="148">
        <v>105132.98497680001</v>
      </c>
      <c r="D3" s="151">
        <v>1</v>
      </c>
      <c r="E3" s="135"/>
      <c r="F3" s="133"/>
      <c r="G3" s="156"/>
      <c r="H3" s="2"/>
      <c r="I3" s="136">
        <v>100001</v>
      </c>
      <c r="J3" s="136" t="s">
        <v>49</v>
      </c>
      <c r="K3" s="135">
        <v>157482.94272801603</v>
      </c>
      <c r="L3" s="135">
        <v>165899.49424640051</v>
      </c>
      <c r="M3" s="135">
        <v>169717.58904136959</v>
      </c>
      <c r="N3" s="135">
        <v>159284.04865374338</v>
      </c>
      <c r="O3" s="135">
        <v>160849.08632515898</v>
      </c>
      <c r="P3" s="135">
        <v>165544.19933940584</v>
      </c>
      <c r="Q3" s="135">
        <v>168674.27468223704</v>
      </c>
      <c r="R3" s="135">
        <v>170239.31235365264</v>
      </c>
      <c r="S3" s="135">
        <v>174934.42536789947</v>
      </c>
      <c r="T3" s="135">
        <v>178064.5007107307</v>
      </c>
      <c r="U3" s="135">
        <v>179629.5383821463</v>
      </c>
      <c r="V3" s="135">
        <v>184324.65139639316</v>
      </c>
    </row>
    <row r="4" spans="1:22" s="4" customFormat="1" ht="15" customHeight="1" x14ac:dyDescent="0.25">
      <c r="A4" s="237"/>
      <c r="B4" s="46">
        <v>11</v>
      </c>
      <c r="C4" s="135">
        <v>151126.17984</v>
      </c>
      <c r="D4" s="151">
        <v>3</v>
      </c>
      <c r="E4" s="135"/>
      <c r="F4" s="133"/>
      <c r="G4" s="156"/>
      <c r="H4" s="2"/>
      <c r="I4" s="133">
        <v>100002</v>
      </c>
      <c r="J4" s="133" t="s">
        <v>55</v>
      </c>
      <c r="K4" s="135">
        <v>114460.47124405921</v>
      </c>
      <c r="L4" s="135">
        <v>120316.98834226841</v>
      </c>
      <c r="M4" s="135">
        <v>122088.16009437905</v>
      </c>
      <c r="N4" s="135">
        <v>111198.15231479419</v>
      </c>
      <c r="O4" s="135">
        <v>112287.15769448756</v>
      </c>
      <c r="P4" s="135">
        <v>114465.16845387428</v>
      </c>
      <c r="Q4" s="135">
        <v>117732.18459295436</v>
      </c>
      <c r="R4" s="135">
        <v>118821.18997264774</v>
      </c>
      <c r="S4" s="135">
        <v>120999.20073203446</v>
      </c>
      <c r="T4" s="135">
        <v>124266.21687111452</v>
      </c>
      <c r="U4" s="135">
        <v>125355.2222508079</v>
      </c>
      <c r="V4" s="135">
        <v>127533.23301019461</v>
      </c>
    </row>
    <row r="5" spans="1:22" s="4" customFormat="1" x14ac:dyDescent="0.25">
      <c r="A5" s="237"/>
      <c r="B5" s="46">
        <v>12</v>
      </c>
      <c r="C5" s="135">
        <v>193193.06593564805</v>
      </c>
      <c r="D5" s="151">
        <v>2</v>
      </c>
      <c r="E5" s="135"/>
      <c r="F5" s="133"/>
      <c r="G5" s="156"/>
      <c r="H5" s="2"/>
      <c r="I5" s="133">
        <v>100003</v>
      </c>
      <c r="J5" s="133" t="s">
        <v>48</v>
      </c>
      <c r="K5" s="135">
        <v>28154.318768960005</v>
      </c>
      <c r="L5" s="135">
        <v>33414.663467950311</v>
      </c>
      <c r="M5" s="135">
        <v>33944.954411696024</v>
      </c>
      <c r="N5" s="135">
        <v>32858.127287984957</v>
      </c>
      <c r="O5" s="135">
        <v>33836.275832619714</v>
      </c>
      <c r="P5" s="135">
        <v>34488.374862376222</v>
      </c>
      <c r="Q5" s="135">
        <v>34814.424377254472</v>
      </c>
      <c r="R5" s="135">
        <v>35792.57292188923</v>
      </c>
      <c r="S5" s="135">
        <v>36444.671951645731</v>
      </c>
      <c r="T5" s="135">
        <v>36770.721466523988</v>
      </c>
      <c r="U5" s="135">
        <v>37748.870011158753</v>
      </c>
      <c r="V5" s="135">
        <v>38400.969040915261</v>
      </c>
    </row>
    <row r="6" spans="1:22" x14ac:dyDescent="0.25">
      <c r="A6" s="237"/>
      <c r="B6" s="134">
        <v>13</v>
      </c>
      <c r="C6" s="139">
        <v>155632.29408710694</v>
      </c>
      <c r="D6" s="151">
        <v>1</v>
      </c>
      <c r="E6" s="135">
        <f t="shared" ref="E6:E17" si="0">+((C3*D3)+(C4*D4)+(C5*D5))/6</f>
        <v>157482.94272801603</v>
      </c>
      <c r="F6" s="135">
        <f>+E6-C6</f>
        <v>1850.6486409090867</v>
      </c>
      <c r="G6" s="157">
        <f>+F6/C6</f>
        <v>1.1891160840135686E-2</v>
      </c>
      <c r="H6" s="162"/>
      <c r="I6" s="133">
        <v>100004</v>
      </c>
      <c r="J6" s="150" t="s">
        <v>56</v>
      </c>
      <c r="K6" s="135">
        <v>55694.442401601125</v>
      </c>
      <c r="L6" s="135">
        <v>62259.352585941029</v>
      </c>
      <c r="M6" s="135">
        <v>63748.409555978964</v>
      </c>
      <c r="N6" s="135">
        <v>61713.869180391855</v>
      </c>
      <c r="O6" s="135">
        <v>73661.062371610067</v>
      </c>
      <c r="P6" s="135">
        <v>64562.23774236827</v>
      </c>
      <c r="Q6" s="135">
        <v>65172.602434220353</v>
      </c>
      <c r="R6" s="135">
        <v>67003.696509776622</v>
      </c>
      <c r="S6" s="135">
        <v>68224.425893480802</v>
      </c>
      <c r="T6" s="135">
        <v>68834.790585332885</v>
      </c>
      <c r="U6" s="135">
        <v>70665.884660889162</v>
      </c>
      <c r="V6" s="135">
        <v>71886.614044593342</v>
      </c>
    </row>
    <row r="7" spans="1:22" x14ac:dyDescent="0.25">
      <c r="A7" s="237"/>
      <c r="B7" s="134">
        <f>+B6+1</f>
        <v>14</v>
      </c>
      <c r="C7" s="139">
        <v>158762.36942993818</v>
      </c>
      <c r="D7" s="151">
        <v>3</v>
      </c>
      <c r="E7" s="135">
        <f t="shared" si="0"/>
        <v>165899.49424640051</v>
      </c>
      <c r="F7" s="135">
        <f>+E7-C7</f>
        <v>7137.1248164623394</v>
      </c>
      <c r="G7" s="157">
        <f>+F7/C7</f>
        <v>4.4954763789992136E-2</v>
      </c>
      <c r="H7" s="162"/>
      <c r="I7" s="133">
        <v>100005</v>
      </c>
      <c r="J7" s="150" t="s">
        <v>6</v>
      </c>
      <c r="K7" s="135">
        <v>51732.598855380005</v>
      </c>
      <c r="L7" s="135">
        <v>52884.479805966956</v>
      </c>
      <c r="M7" s="135">
        <v>50116.051470968967</v>
      </c>
      <c r="N7" s="135">
        <v>45731.559469572421</v>
      </c>
      <c r="O7" s="135">
        <v>47088.447130689754</v>
      </c>
      <c r="P7" s="135">
        <v>47540.74301772887</v>
      </c>
      <c r="Q7" s="135">
        <v>48445.334791807087</v>
      </c>
      <c r="R7" s="135">
        <v>49802.222452924419</v>
      </c>
      <c r="S7" s="135">
        <v>50254.518339963535</v>
      </c>
      <c r="T7" s="135">
        <v>51159.110114041752</v>
      </c>
      <c r="U7" s="135">
        <v>52515.997775159085</v>
      </c>
      <c r="V7" s="135">
        <v>52968.293662198201</v>
      </c>
    </row>
    <row r="8" spans="1:22" x14ac:dyDescent="0.25">
      <c r="A8" s="237"/>
      <c r="B8" s="134">
        <f t="shared" ref="B8:B17" si="1">+B7+1</f>
        <v>15</v>
      </c>
      <c r="C8" s="139">
        <v>161892.44477276941</v>
      </c>
      <c r="D8" s="151">
        <v>2</v>
      </c>
      <c r="E8" s="135">
        <f t="shared" si="0"/>
        <v>169717.58904136959</v>
      </c>
      <c r="F8" s="135">
        <f t="shared" ref="F8:F14" si="2">+E8-C8</f>
        <v>7825.1442686001828</v>
      </c>
      <c r="G8" s="157">
        <f t="shared" ref="G8:G14" si="3">+F8/C8</f>
        <v>4.833545061095023E-2</v>
      </c>
      <c r="H8" s="162"/>
      <c r="I8" s="133">
        <v>100006</v>
      </c>
      <c r="J8" s="150" t="s">
        <v>7</v>
      </c>
      <c r="K8" s="135">
        <v>53171.343941147446</v>
      </c>
      <c r="L8" s="135">
        <v>55891.924081535915</v>
      </c>
      <c r="M8" s="135">
        <v>56714.702298213997</v>
      </c>
      <c r="N8" s="135">
        <v>51655.869822018576</v>
      </c>
      <c r="O8" s="135">
        <v>52161.755207323084</v>
      </c>
      <c r="P8" s="135">
        <v>53173.52597793207</v>
      </c>
      <c r="Q8" s="135">
        <v>54691.182133845577</v>
      </c>
      <c r="R8" s="135">
        <v>55197.06751915007</v>
      </c>
      <c r="S8" s="135">
        <v>56208.838289759085</v>
      </c>
      <c r="T8" s="135">
        <v>57726.494445672579</v>
      </c>
      <c r="U8" s="135">
        <v>58232.379830977086</v>
      </c>
      <c r="V8" s="135">
        <v>59244.150601586087</v>
      </c>
    </row>
    <row r="9" spans="1:22" x14ac:dyDescent="0.25">
      <c r="A9" s="237"/>
      <c r="B9" s="134">
        <f t="shared" si="1"/>
        <v>16</v>
      </c>
      <c r="C9" s="139">
        <v>165022.52011560061</v>
      </c>
      <c r="D9" s="151">
        <v>1</v>
      </c>
      <c r="E9" s="135">
        <f t="shared" si="0"/>
        <v>159284.04865374338</v>
      </c>
      <c r="F9" s="135">
        <f t="shared" si="2"/>
        <v>-5738.4714618572325</v>
      </c>
      <c r="G9" s="157">
        <f t="shared" si="3"/>
        <v>-3.4773868789770949E-2</v>
      </c>
      <c r="H9" s="162"/>
      <c r="I9" s="162"/>
      <c r="J9" s="162"/>
    </row>
    <row r="10" spans="1:22" x14ac:dyDescent="0.25">
      <c r="A10" s="237"/>
      <c r="B10" s="134">
        <f t="shared" si="1"/>
        <v>17</v>
      </c>
      <c r="C10" s="139">
        <v>168152.59545843184</v>
      </c>
      <c r="D10" s="151">
        <v>3</v>
      </c>
      <c r="E10" s="135">
        <f t="shared" si="0"/>
        <v>160849.08632515898</v>
      </c>
      <c r="F10" s="135">
        <f t="shared" si="2"/>
        <v>-7303.5091332728625</v>
      </c>
      <c r="G10" s="157">
        <f t="shared" si="3"/>
        <v>-4.3433817440411297E-2</v>
      </c>
      <c r="H10" s="162"/>
      <c r="I10" s="162"/>
      <c r="J10" s="162"/>
    </row>
    <row r="11" spans="1:22" x14ac:dyDescent="0.25">
      <c r="A11" s="237"/>
      <c r="B11" s="134">
        <f t="shared" si="1"/>
        <v>18</v>
      </c>
      <c r="C11" s="139">
        <v>171282.67080126307</v>
      </c>
      <c r="D11" s="151">
        <v>2</v>
      </c>
      <c r="E11" s="135">
        <f t="shared" si="0"/>
        <v>165544.19933940584</v>
      </c>
      <c r="F11" s="135">
        <f t="shared" si="2"/>
        <v>-5738.4714618572325</v>
      </c>
      <c r="G11" s="157">
        <f t="shared" si="3"/>
        <v>-3.3502930769426766E-2</v>
      </c>
      <c r="H11" s="162"/>
      <c r="I11" s="162"/>
      <c r="J11" s="162"/>
      <c r="K11" s="190" t="s">
        <v>145</v>
      </c>
      <c r="L11" s="190" t="s">
        <v>145</v>
      </c>
      <c r="M11" s="190" t="s">
        <v>145</v>
      </c>
      <c r="N11" s="190" t="s">
        <v>145</v>
      </c>
      <c r="O11" s="190" t="s">
        <v>145</v>
      </c>
      <c r="P11" s="190" t="s">
        <v>145</v>
      </c>
      <c r="Q11" s="190" t="s">
        <v>145</v>
      </c>
      <c r="R11" s="190" t="s">
        <v>145</v>
      </c>
      <c r="S11" s="190" t="s">
        <v>145</v>
      </c>
      <c r="T11" s="190" t="s">
        <v>145</v>
      </c>
      <c r="U11" s="190" t="s">
        <v>145</v>
      </c>
      <c r="V11" s="190" t="s">
        <v>145</v>
      </c>
    </row>
    <row r="12" spans="1:22" x14ac:dyDescent="0.25">
      <c r="A12" s="237"/>
      <c r="B12" s="134">
        <f t="shared" si="1"/>
        <v>19</v>
      </c>
      <c r="C12" s="139">
        <v>174412.74614409427</v>
      </c>
      <c r="D12" s="151">
        <v>1</v>
      </c>
      <c r="E12" s="135">
        <f t="shared" si="0"/>
        <v>168674.27468223704</v>
      </c>
      <c r="F12" s="135">
        <f t="shared" si="2"/>
        <v>-5738.4714618572325</v>
      </c>
      <c r="G12" s="157">
        <f t="shared" si="3"/>
        <v>-3.2901674841563984E-2</v>
      </c>
      <c r="H12" s="162"/>
      <c r="I12" s="162"/>
      <c r="J12" s="162"/>
    </row>
    <row r="13" spans="1:22" x14ac:dyDescent="0.25">
      <c r="A13" s="237"/>
      <c r="B13" s="134">
        <f t="shared" si="1"/>
        <v>20</v>
      </c>
      <c r="C13" s="139">
        <v>177542.8214869255</v>
      </c>
      <c r="D13" s="151">
        <v>3</v>
      </c>
      <c r="E13" s="135">
        <f t="shared" si="0"/>
        <v>170239.31235365264</v>
      </c>
      <c r="F13" s="135">
        <f t="shared" si="2"/>
        <v>-7303.5091332728625</v>
      </c>
      <c r="G13" s="157">
        <f t="shared" si="3"/>
        <v>-4.1136606211987586E-2</v>
      </c>
      <c r="H13" s="162"/>
      <c r="I13" s="162"/>
      <c r="J13" s="162"/>
    </row>
    <row r="14" spans="1:22" x14ac:dyDescent="0.25">
      <c r="A14" s="237"/>
      <c r="B14" s="134">
        <f t="shared" si="1"/>
        <v>21</v>
      </c>
      <c r="C14" s="139">
        <v>180672.89682975673</v>
      </c>
      <c r="D14" s="151">
        <v>2</v>
      </c>
      <c r="E14" s="135">
        <f t="shared" si="0"/>
        <v>174934.42536789947</v>
      </c>
      <c r="F14" s="135">
        <f t="shared" si="2"/>
        <v>-5738.4714618572616</v>
      </c>
      <c r="G14" s="157">
        <f t="shared" si="3"/>
        <v>-3.1761661890352434E-2</v>
      </c>
      <c r="H14" s="162"/>
      <c r="I14" s="162"/>
      <c r="J14" s="162"/>
    </row>
    <row r="15" spans="1:22" x14ac:dyDescent="0.25">
      <c r="A15" s="237"/>
      <c r="B15" s="134">
        <f t="shared" si="1"/>
        <v>22</v>
      </c>
      <c r="C15" s="139">
        <v>183802.97217258794</v>
      </c>
      <c r="D15" s="151">
        <v>1</v>
      </c>
      <c r="E15" s="135">
        <f t="shared" si="0"/>
        <v>178064.5007107307</v>
      </c>
      <c r="F15" s="135">
        <f t="shared" ref="F15:F17" si="4">+E15-C15</f>
        <v>-5738.4714618572325</v>
      </c>
      <c r="G15" s="157">
        <f t="shared" ref="G15:G17" si="5">+F15/C15</f>
        <v>-3.1220776215027161E-2</v>
      </c>
      <c r="H15" s="162"/>
      <c r="I15" s="162"/>
      <c r="J15" s="162"/>
    </row>
    <row r="16" spans="1:22" x14ac:dyDescent="0.25">
      <c r="A16" s="237"/>
      <c r="B16" s="134">
        <f t="shared" si="1"/>
        <v>23</v>
      </c>
      <c r="C16" s="139">
        <v>186933.04751541917</v>
      </c>
      <c r="D16" s="151">
        <v>3</v>
      </c>
      <c r="E16" s="135">
        <f t="shared" si="0"/>
        <v>179629.5383821463</v>
      </c>
      <c r="F16" s="135">
        <f t="shared" si="4"/>
        <v>-7303.5091332728625</v>
      </c>
      <c r="G16" s="157">
        <f t="shared" si="5"/>
        <v>-3.9070187055450602E-2</v>
      </c>
      <c r="H16" s="162"/>
      <c r="I16" s="162"/>
      <c r="J16" s="162"/>
    </row>
    <row r="17" spans="1:12" ht="15.75" thickBot="1" x14ac:dyDescent="0.3">
      <c r="A17" s="238"/>
      <c r="B17" s="132">
        <f t="shared" si="1"/>
        <v>24</v>
      </c>
      <c r="C17" s="139">
        <v>190063.1228582504</v>
      </c>
      <c r="D17" s="133">
        <v>2</v>
      </c>
      <c r="E17" s="135">
        <f t="shared" si="0"/>
        <v>184324.65139639316</v>
      </c>
      <c r="F17" s="135">
        <f t="shared" si="4"/>
        <v>-5738.4714618572325</v>
      </c>
      <c r="G17" s="157">
        <f t="shared" si="5"/>
        <v>-3.0192450674068953E-2</v>
      </c>
      <c r="H17" s="162"/>
      <c r="I17" s="162"/>
      <c r="J17" s="162"/>
    </row>
    <row r="18" spans="1:12" s="4" customFormat="1" x14ac:dyDescent="0.25">
      <c r="A18" s="236" t="s">
        <v>147</v>
      </c>
      <c r="B18" s="140">
        <v>10</v>
      </c>
      <c r="C18" s="139">
        <v>73155.035379690002</v>
      </c>
      <c r="D18" s="133">
        <v>1</v>
      </c>
      <c r="E18" s="135"/>
      <c r="F18" s="133" t="s">
        <v>145</v>
      </c>
      <c r="G18" s="156"/>
      <c r="H18" s="2"/>
      <c r="I18" s="2"/>
      <c r="J18" s="2"/>
    </row>
    <row r="19" spans="1:12" s="4" customFormat="1" x14ac:dyDescent="0.25">
      <c r="A19" s="237"/>
      <c r="B19" s="141">
        <f>+B18+1</f>
        <v>11</v>
      </c>
      <c r="C19" s="139">
        <v>105158.633472</v>
      </c>
      <c r="D19" s="133">
        <v>2</v>
      </c>
      <c r="E19" s="135"/>
      <c r="F19" s="133" t="s">
        <v>145</v>
      </c>
      <c r="G19" s="156"/>
      <c r="H19" s="2"/>
      <c r="I19" s="2"/>
      <c r="J19" s="2"/>
    </row>
    <row r="20" spans="1:12" s="4" customFormat="1" x14ac:dyDescent="0.25">
      <c r="A20" s="237"/>
      <c r="B20" s="141">
        <f t="shared" ref="B20:B32" si="6">+B19+1</f>
        <v>12</v>
      </c>
      <c r="C20" s="139">
        <v>134430.17504688841</v>
      </c>
      <c r="D20" s="133">
        <v>3</v>
      </c>
      <c r="E20" s="135"/>
      <c r="F20" s="133" t="s">
        <v>145</v>
      </c>
      <c r="G20" s="156"/>
      <c r="H20" s="2"/>
      <c r="I20" s="2"/>
      <c r="J20" s="2"/>
      <c r="L20" s="4" t="s">
        <v>145</v>
      </c>
    </row>
    <row r="21" spans="1:12" x14ac:dyDescent="0.25">
      <c r="A21" s="237"/>
      <c r="B21" s="141">
        <f t="shared" si="6"/>
        <v>13</v>
      </c>
      <c r="C21" s="139">
        <v>108294.13796894523</v>
      </c>
      <c r="D21" s="133">
        <v>1</v>
      </c>
      <c r="E21" s="135">
        <f t="shared" ref="E21:E29" si="7">+((C18*D18)+(C19*D19)+(C20*D20))/6</f>
        <v>114460.47124405921</v>
      </c>
      <c r="F21" s="135">
        <f>+E21-C21</f>
        <v>6166.3332751139824</v>
      </c>
      <c r="G21" s="157">
        <f>+F21/C21</f>
        <v>5.6940600763471239E-2</v>
      </c>
      <c r="H21" s="162"/>
      <c r="I21" s="162"/>
      <c r="J21" s="162"/>
      <c r="L21" s="4" t="s">
        <v>145</v>
      </c>
    </row>
    <row r="22" spans="1:12" x14ac:dyDescent="0.25">
      <c r="A22" s="237"/>
      <c r="B22" s="141">
        <f t="shared" si="6"/>
        <v>14</v>
      </c>
      <c r="C22" s="139">
        <v>110472.14872833196</v>
      </c>
      <c r="D22" s="133">
        <v>2</v>
      </c>
      <c r="E22" s="135">
        <f t="shared" si="7"/>
        <v>120316.98834226841</v>
      </c>
      <c r="F22" s="135">
        <f>+E22-C22</f>
        <v>9844.8396139364486</v>
      </c>
      <c r="G22" s="157">
        <f>+F22/C22</f>
        <v>8.9116032658570141E-2</v>
      </c>
      <c r="H22" s="162"/>
      <c r="I22" s="162"/>
      <c r="J22" s="162"/>
      <c r="L22" s="4" t="s">
        <v>145</v>
      </c>
    </row>
    <row r="23" spans="1:12" x14ac:dyDescent="0.25">
      <c r="A23" s="237"/>
      <c r="B23" s="141">
        <f t="shared" si="6"/>
        <v>15</v>
      </c>
      <c r="C23" s="139">
        <v>112650.15948771869</v>
      </c>
      <c r="D23" s="133">
        <v>3</v>
      </c>
      <c r="E23" s="135">
        <f t="shared" si="7"/>
        <v>122088.16009437905</v>
      </c>
      <c r="F23" s="135">
        <f t="shared" ref="F23:F29" si="8">+E23-C23</f>
        <v>9438.0006066603673</v>
      </c>
      <c r="G23" s="157">
        <f t="shared" ref="G23:G29" si="9">+F23/C23</f>
        <v>8.3781511269758246E-2</v>
      </c>
      <c r="H23" s="162"/>
      <c r="I23" s="162"/>
      <c r="J23" s="162"/>
      <c r="L23" s="4" t="s">
        <v>145</v>
      </c>
    </row>
    <row r="24" spans="1:12" x14ac:dyDescent="0.25">
      <c r="A24" s="237"/>
      <c r="B24" s="141">
        <f t="shared" si="6"/>
        <v>16</v>
      </c>
      <c r="C24" s="139">
        <v>114828.1702471054</v>
      </c>
      <c r="D24" s="133">
        <v>1</v>
      </c>
      <c r="E24" s="135">
        <f t="shared" si="7"/>
        <v>111198.15231479419</v>
      </c>
      <c r="F24" s="135">
        <f t="shared" si="8"/>
        <v>-3630.0179323112097</v>
      </c>
      <c r="G24" s="157">
        <f t="shared" si="9"/>
        <v>-3.1612607990700918E-2</v>
      </c>
      <c r="H24" s="162"/>
      <c r="I24" s="162"/>
      <c r="J24" s="162"/>
      <c r="L24" t="s">
        <v>145</v>
      </c>
    </row>
    <row r="25" spans="1:12" x14ac:dyDescent="0.25">
      <c r="A25" s="237"/>
      <c r="B25" s="141">
        <f t="shared" si="6"/>
        <v>17</v>
      </c>
      <c r="C25" s="139">
        <v>117006.18100649212</v>
      </c>
      <c r="D25" s="133">
        <v>2</v>
      </c>
      <c r="E25" s="135">
        <f t="shared" si="7"/>
        <v>112287.15769448756</v>
      </c>
      <c r="F25" s="135">
        <f t="shared" si="8"/>
        <v>-4719.0233120045596</v>
      </c>
      <c r="G25" s="157">
        <f t="shared" si="9"/>
        <v>-4.03314019089532E-2</v>
      </c>
      <c r="H25" s="162"/>
      <c r="I25" s="162"/>
      <c r="J25" s="162"/>
      <c r="L25" t="s">
        <v>145</v>
      </c>
    </row>
    <row r="26" spans="1:12" x14ac:dyDescent="0.25">
      <c r="A26" s="237"/>
      <c r="B26" s="141">
        <f t="shared" si="6"/>
        <v>18</v>
      </c>
      <c r="C26" s="139">
        <v>119184.19176587884</v>
      </c>
      <c r="D26" s="133">
        <v>3</v>
      </c>
      <c r="E26" s="135">
        <f t="shared" si="7"/>
        <v>114465.16845387428</v>
      </c>
      <c r="F26" s="135">
        <f t="shared" si="8"/>
        <v>-4719.0233120045596</v>
      </c>
      <c r="G26" s="157">
        <f t="shared" si="9"/>
        <v>-3.959437272750433E-2</v>
      </c>
      <c r="H26" s="162"/>
      <c r="I26" s="162"/>
      <c r="J26" s="162"/>
    </row>
    <row r="27" spans="1:12" x14ac:dyDescent="0.25">
      <c r="A27" s="237"/>
      <c r="B27" s="141">
        <f t="shared" si="6"/>
        <v>19</v>
      </c>
      <c r="C27" s="139">
        <v>121362.20252526557</v>
      </c>
      <c r="D27" s="133">
        <v>1</v>
      </c>
      <c r="E27" s="135">
        <f t="shared" si="7"/>
        <v>117732.18459295436</v>
      </c>
      <c r="F27" s="135">
        <f t="shared" si="8"/>
        <v>-3630.0179323112097</v>
      </c>
      <c r="G27" s="157">
        <f t="shared" si="9"/>
        <v>-2.9910613492330949E-2</v>
      </c>
      <c r="H27" s="162"/>
      <c r="I27" s="162"/>
      <c r="J27" s="162"/>
    </row>
    <row r="28" spans="1:12" x14ac:dyDescent="0.25">
      <c r="A28" s="237"/>
      <c r="B28" s="141">
        <f t="shared" si="6"/>
        <v>20</v>
      </c>
      <c r="C28" s="139">
        <v>123540.21328465229</v>
      </c>
      <c r="D28" s="133">
        <v>2</v>
      </c>
      <c r="E28" s="135">
        <f t="shared" si="7"/>
        <v>118821.18997264774</v>
      </c>
      <c r="F28" s="135">
        <f t="shared" si="8"/>
        <v>-4719.023312004545</v>
      </c>
      <c r="G28" s="157">
        <f t="shared" si="9"/>
        <v>-3.8198277196845355E-2</v>
      </c>
      <c r="H28" s="162"/>
      <c r="I28" s="162"/>
      <c r="J28" s="162"/>
    </row>
    <row r="29" spans="1:12" x14ac:dyDescent="0.25">
      <c r="A29" s="237"/>
      <c r="B29" s="141">
        <f t="shared" si="6"/>
        <v>21</v>
      </c>
      <c r="C29" s="139">
        <v>125718.22404403902</v>
      </c>
      <c r="D29" s="133">
        <v>3</v>
      </c>
      <c r="E29" s="135">
        <f t="shared" si="7"/>
        <v>120999.20073203446</v>
      </c>
      <c r="F29" s="135">
        <f t="shared" si="8"/>
        <v>-4719.0233120045596</v>
      </c>
      <c r="G29" s="157">
        <f t="shared" si="9"/>
        <v>-3.7536509506779926E-2</v>
      </c>
      <c r="H29" s="162"/>
      <c r="I29" s="162"/>
      <c r="J29" s="162"/>
    </row>
    <row r="30" spans="1:12" x14ac:dyDescent="0.25">
      <c r="A30" s="237"/>
      <c r="B30" s="141">
        <f t="shared" si="6"/>
        <v>22</v>
      </c>
      <c r="C30" s="139">
        <v>127896.23480342573</v>
      </c>
      <c r="D30" s="133">
        <v>1</v>
      </c>
      <c r="E30" s="135">
        <f t="shared" ref="E30:E32" si="10">+((C27*D27)+(C28*D28)+(C29*D29))/6</f>
        <v>124266.21687111452</v>
      </c>
      <c r="F30" s="135">
        <f t="shared" ref="F30:F32" si="11">+E30-C30</f>
        <v>-3630.0179323112097</v>
      </c>
      <c r="G30" s="157">
        <f t="shared" ref="G30:G32" si="12">+F30/C30</f>
        <v>-2.8382523831842928E-2</v>
      </c>
      <c r="H30" s="162"/>
      <c r="I30" s="162"/>
      <c r="J30" s="162"/>
    </row>
    <row r="31" spans="1:12" x14ac:dyDescent="0.25">
      <c r="A31" s="237"/>
      <c r="B31" s="141">
        <f t="shared" si="6"/>
        <v>23</v>
      </c>
      <c r="C31" s="139">
        <v>130074.24556281246</v>
      </c>
      <c r="D31" s="133">
        <v>2</v>
      </c>
      <c r="E31" s="135">
        <f t="shared" si="10"/>
        <v>125355.2222508079</v>
      </c>
      <c r="F31" s="135">
        <f t="shared" si="11"/>
        <v>-4719.0233120045596</v>
      </c>
      <c r="G31" s="157">
        <f t="shared" si="12"/>
        <v>-3.6279459408632565E-2</v>
      </c>
      <c r="H31" s="162"/>
      <c r="I31" s="162"/>
      <c r="J31" s="162"/>
    </row>
    <row r="32" spans="1:12" ht="15.75" thickBot="1" x14ac:dyDescent="0.3">
      <c r="A32" s="238"/>
      <c r="B32" s="142">
        <f t="shared" si="6"/>
        <v>24</v>
      </c>
      <c r="C32" s="139">
        <v>132252.25632219919</v>
      </c>
      <c r="D32" s="133">
        <v>3</v>
      </c>
      <c r="E32" s="135">
        <f t="shared" si="10"/>
        <v>127533.23301019461</v>
      </c>
      <c r="F32" s="135">
        <f t="shared" si="11"/>
        <v>-4719.0233120045741</v>
      </c>
      <c r="G32" s="157">
        <f t="shared" si="12"/>
        <v>-3.5681987160263391E-2</v>
      </c>
      <c r="H32" s="162"/>
      <c r="I32" s="162"/>
      <c r="J32" s="162"/>
    </row>
    <row r="33" spans="1:10" s="131" customFormat="1" ht="15" customHeight="1" x14ac:dyDescent="0.25">
      <c r="A33" s="236" t="s">
        <v>148</v>
      </c>
      <c r="B33" s="81">
        <v>10</v>
      </c>
      <c r="C33" s="152">
        <v>21902.705203500002</v>
      </c>
      <c r="D33" s="144">
        <v>3</v>
      </c>
      <c r="E33" s="145"/>
      <c r="F33" s="144"/>
      <c r="G33" s="158"/>
      <c r="H33" s="163"/>
      <c r="I33" s="163"/>
      <c r="J33" s="163"/>
    </row>
    <row r="34" spans="1:10" x14ac:dyDescent="0.25">
      <c r="A34" s="237"/>
      <c r="B34" s="143">
        <f>+B33+1</f>
        <v>11</v>
      </c>
      <c r="C34" s="135">
        <v>31484.620800000004</v>
      </c>
      <c r="D34" s="133">
        <v>2</v>
      </c>
      <c r="E34" s="135"/>
      <c r="F34" s="133"/>
      <c r="G34" s="156"/>
      <c r="H34" s="2"/>
      <c r="I34" s="2"/>
      <c r="J34" s="2"/>
    </row>
    <row r="35" spans="1:10" x14ac:dyDescent="0.25">
      <c r="A35" s="237"/>
      <c r="B35" s="143">
        <f t="shared" ref="B35:B47" si="13">+B34+1</f>
        <v>12</v>
      </c>
      <c r="C35" s="135">
        <v>40248.555403260005</v>
      </c>
      <c r="D35" s="133">
        <v>1</v>
      </c>
      <c r="E35" s="135"/>
      <c r="F35" s="133"/>
      <c r="G35" s="156"/>
      <c r="H35" s="2"/>
      <c r="I35" s="2"/>
      <c r="J35" s="2"/>
    </row>
    <row r="36" spans="1:10" x14ac:dyDescent="0.25">
      <c r="A36" s="237"/>
      <c r="B36" s="141">
        <f t="shared" si="13"/>
        <v>13</v>
      </c>
      <c r="C36" s="135">
        <v>32423.394601480621</v>
      </c>
      <c r="D36" s="133">
        <v>3</v>
      </c>
      <c r="E36" s="135">
        <f t="shared" ref="E36:E44" si="14">+((C33*D33)+(C34*D34)+(C35*D35))/6</f>
        <v>28154.318768960005</v>
      </c>
      <c r="F36" s="135">
        <f>+E36-C36</f>
        <v>-4269.0758325206152</v>
      </c>
      <c r="G36" s="157">
        <f>+F36/C36</f>
        <v>-0.13166652921423802</v>
      </c>
      <c r="H36" s="162"/>
      <c r="I36" s="162"/>
      <c r="J36" s="162"/>
    </row>
    <row r="37" spans="1:10" x14ac:dyDescent="0.25">
      <c r="A37" s="237"/>
      <c r="B37" s="141">
        <f t="shared" si="13"/>
        <v>14</v>
      </c>
      <c r="C37" s="135">
        <v>33075.493631237128</v>
      </c>
      <c r="D37" s="133">
        <v>2</v>
      </c>
      <c r="E37" s="135">
        <f t="shared" si="14"/>
        <v>33414.663467950311</v>
      </c>
      <c r="F37" s="135">
        <f>+E37-C37</f>
        <v>339.16983671318303</v>
      </c>
      <c r="G37" s="157">
        <f>+F37/C37</f>
        <v>1.0254414960351932E-2</v>
      </c>
      <c r="H37" s="162"/>
      <c r="I37" s="162"/>
      <c r="J37" s="162"/>
    </row>
    <row r="38" spans="1:10" x14ac:dyDescent="0.25">
      <c r="A38" s="237"/>
      <c r="B38" s="141">
        <f t="shared" si="13"/>
        <v>15</v>
      </c>
      <c r="C38" s="135">
        <v>33727.592660993629</v>
      </c>
      <c r="D38" s="133">
        <v>1</v>
      </c>
      <c r="E38" s="135">
        <f t="shared" si="14"/>
        <v>33944.954411696024</v>
      </c>
      <c r="F38" s="135">
        <f t="shared" ref="F38:F44" si="15">+E38-C38</f>
        <v>217.36175070239551</v>
      </c>
      <c r="G38" s="157">
        <f t="shared" ref="G38:G44" si="16">+F38/C38</f>
        <v>6.444626893095072E-3</v>
      </c>
      <c r="H38" s="162"/>
      <c r="I38" s="162"/>
      <c r="J38" s="162"/>
    </row>
    <row r="39" spans="1:10" x14ac:dyDescent="0.25">
      <c r="A39" s="237"/>
      <c r="B39" s="141">
        <f t="shared" si="13"/>
        <v>16</v>
      </c>
      <c r="C39" s="135">
        <v>34379.691690750136</v>
      </c>
      <c r="D39" s="133">
        <v>3</v>
      </c>
      <c r="E39" s="135">
        <f t="shared" si="14"/>
        <v>32858.127287984957</v>
      </c>
      <c r="F39" s="135">
        <f t="shared" si="15"/>
        <v>-1521.5644027651797</v>
      </c>
      <c r="G39" s="157">
        <f t="shared" si="16"/>
        <v>-4.4257651186981321E-2</v>
      </c>
      <c r="H39" s="162"/>
      <c r="I39" s="162"/>
      <c r="J39" s="162"/>
    </row>
    <row r="40" spans="1:10" x14ac:dyDescent="0.25">
      <c r="A40" s="237"/>
      <c r="B40" s="141">
        <f t="shared" si="13"/>
        <v>17</v>
      </c>
      <c r="C40" s="135">
        <v>35031.790720506644</v>
      </c>
      <c r="D40" s="133">
        <v>2</v>
      </c>
      <c r="E40" s="135">
        <f t="shared" si="14"/>
        <v>33836.275832619714</v>
      </c>
      <c r="F40" s="135">
        <f t="shared" si="15"/>
        <v>-1195.5148878869295</v>
      </c>
      <c r="G40" s="157">
        <f t="shared" si="16"/>
        <v>-3.4126570846037513E-2</v>
      </c>
      <c r="H40" s="162"/>
      <c r="I40" s="162"/>
      <c r="J40" s="162"/>
    </row>
    <row r="41" spans="1:10" x14ac:dyDescent="0.25">
      <c r="A41" s="237"/>
      <c r="B41" s="141">
        <f t="shared" si="13"/>
        <v>18</v>
      </c>
      <c r="C41" s="135">
        <v>35683.889750263144</v>
      </c>
      <c r="D41" s="133">
        <v>1</v>
      </c>
      <c r="E41" s="135">
        <f t="shared" si="14"/>
        <v>34488.374862376222</v>
      </c>
      <c r="F41" s="135">
        <f t="shared" si="15"/>
        <v>-1195.5148878869222</v>
      </c>
      <c r="G41" s="157">
        <f t="shared" si="16"/>
        <v>-3.3502930769426731E-2</v>
      </c>
      <c r="H41" s="162"/>
      <c r="I41" s="162"/>
      <c r="J41" s="162"/>
    </row>
    <row r="42" spans="1:10" x14ac:dyDescent="0.25">
      <c r="A42" s="237"/>
      <c r="B42" s="141">
        <f t="shared" si="13"/>
        <v>19</v>
      </c>
      <c r="C42" s="135">
        <v>36335.988780019652</v>
      </c>
      <c r="D42" s="133">
        <v>3</v>
      </c>
      <c r="E42" s="135">
        <f t="shared" si="14"/>
        <v>34814.424377254472</v>
      </c>
      <c r="F42" s="135">
        <f t="shared" si="15"/>
        <v>-1521.5644027651797</v>
      </c>
      <c r="G42" s="157">
        <f t="shared" si="16"/>
        <v>-4.1874858889263358E-2</v>
      </c>
      <c r="H42" s="162"/>
      <c r="I42" s="162"/>
      <c r="J42" s="162"/>
    </row>
    <row r="43" spans="1:10" x14ac:dyDescent="0.25">
      <c r="A43" s="237"/>
      <c r="B43" s="141">
        <f t="shared" si="13"/>
        <v>20</v>
      </c>
      <c r="C43" s="135">
        <v>36988.08780977616</v>
      </c>
      <c r="D43" s="133">
        <v>2</v>
      </c>
      <c r="E43" s="135">
        <f t="shared" si="14"/>
        <v>35792.57292188923</v>
      </c>
      <c r="F43" s="135">
        <f t="shared" si="15"/>
        <v>-1195.5148878869295</v>
      </c>
      <c r="G43" s="157">
        <f t="shared" si="16"/>
        <v>-3.2321619166561733E-2</v>
      </c>
      <c r="H43" s="162"/>
      <c r="I43" s="162"/>
      <c r="J43" s="162"/>
    </row>
    <row r="44" spans="1:10" x14ac:dyDescent="0.25">
      <c r="A44" s="237"/>
      <c r="B44" s="141">
        <f t="shared" si="13"/>
        <v>21</v>
      </c>
      <c r="C44" s="135">
        <v>37640.186839532667</v>
      </c>
      <c r="D44" s="133">
        <v>1</v>
      </c>
      <c r="E44" s="135">
        <f t="shared" si="14"/>
        <v>36444.671951645731</v>
      </c>
      <c r="F44" s="135">
        <f t="shared" si="15"/>
        <v>-1195.5148878869368</v>
      </c>
      <c r="G44" s="157">
        <f t="shared" si="16"/>
        <v>-3.1761661890352615E-2</v>
      </c>
      <c r="H44" s="162"/>
      <c r="I44" s="162"/>
      <c r="J44" s="162"/>
    </row>
    <row r="45" spans="1:10" x14ac:dyDescent="0.25">
      <c r="A45" s="237"/>
      <c r="B45" s="141">
        <f t="shared" si="13"/>
        <v>22</v>
      </c>
      <c r="C45" s="135">
        <v>38292.285869289175</v>
      </c>
      <c r="D45" s="133">
        <v>3</v>
      </c>
      <c r="E45" s="135">
        <f t="shared" ref="E45:E47" si="17">+((C42*D42)+(C43*D43)+(C44*D44))/6</f>
        <v>36770.721466523988</v>
      </c>
      <c r="F45" s="135">
        <f t="shared" ref="F45:F47" si="18">+E45-C45</f>
        <v>-1521.564402765187</v>
      </c>
      <c r="G45" s="157">
        <f t="shared" ref="G45:G47" si="19">+F45/C45</f>
        <v>-3.9735533364580307E-2</v>
      </c>
      <c r="H45" s="162"/>
      <c r="I45" s="162"/>
      <c r="J45" s="162"/>
    </row>
    <row r="46" spans="1:10" x14ac:dyDescent="0.25">
      <c r="A46" s="237"/>
      <c r="B46" s="141">
        <f t="shared" si="13"/>
        <v>23</v>
      </c>
      <c r="C46" s="135">
        <v>38944.384899045675</v>
      </c>
      <c r="D46" s="133">
        <v>2</v>
      </c>
      <c r="E46" s="135">
        <f t="shared" si="17"/>
        <v>37748.870011158753</v>
      </c>
      <c r="F46" s="135">
        <f t="shared" si="18"/>
        <v>-1195.5148878869222</v>
      </c>
      <c r="G46" s="157">
        <f t="shared" si="19"/>
        <v>-3.069800411499677E-2</v>
      </c>
      <c r="H46" s="162"/>
      <c r="I46" s="162"/>
      <c r="J46" s="162"/>
    </row>
    <row r="47" spans="1:10" ht="15.75" thickBot="1" x14ac:dyDescent="0.3">
      <c r="A47" s="238"/>
      <c r="B47" s="142">
        <f t="shared" si="13"/>
        <v>24</v>
      </c>
      <c r="C47" s="135">
        <v>39596.483928802183</v>
      </c>
      <c r="D47" s="133">
        <v>1</v>
      </c>
      <c r="E47" s="135">
        <f t="shared" si="17"/>
        <v>38400.969040915261</v>
      </c>
      <c r="F47" s="135">
        <f t="shared" si="18"/>
        <v>-1195.5148878869222</v>
      </c>
      <c r="G47" s="157">
        <f t="shared" si="19"/>
        <v>-3.0192450674068911E-2</v>
      </c>
      <c r="H47" s="162"/>
      <c r="I47" s="162"/>
      <c r="J47" s="162"/>
    </row>
    <row r="48" spans="1:10" x14ac:dyDescent="0.25">
      <c r="A48" s="236" t="s">
        <v>149</v>
      </c>
      <c r="B48" s="81">
        <v>10</v>
      </c>
      <c r="C48" s="146">
        <v>41001.864140951999</v>
      </c>
      <c r="D48" s="133">
        <v>2</v>
      </c>
      <c r="E48" s="135"/>
      <c r="F48" s="133"/>
      <c r="G48" s="156"/>
      <c r="H48" s="2"/>
      <c r="I48" s="2"/>
      <c r="J48" s="2"/>
    </row>
    <row r="49" spans="1:10" x14ac:dyDescent="0.25">
      <c r="A49" s="237"/>
      <c r="B49" s="143">
        <f>+B48+1</f>
        <v>11</v>
      </c>
      <c r="C49" s="146">
        <v>58939.210137600006</v>
      </c>
      <c r="D49" s="133">
        <v>3</v>
      </c>
      <c r="E49" s="135"/>
      <c r="F49" s="133"/>
      <c r="G49" s="156"/>
      <c r="H49" s="2"/>
      <c r="I49" s="2"/>
      <c r="J49" s="2"/>
    </row>
    <row r="50" spans="1:10" x14ac:dyDescent="0.25">
      <c r="A50" s="237"/>
      <c r="B50" s="143">
        <f t="shared" ref="B50:B62" si="20">+B49+1</f>
        <v>12</v>
      </c>
      <c r="C50" s="146">
        <v>75345.295714902735</v>
      </c>
      <c r="D50" s="133">
        <v>1</v>
      </c>
      <c r="E50" s="135"/>
      <c r="F50" s="133"/>
      <c r="G50" s="156"/>
      <c r="H50" s="2"/>
      <c r="I50" s="2"/>
      <c r="J50" s="2"/>
    </row>
    <row r="51" spans="1:10" x14ac:dyDescent="0.25">
      <c r="A51" s="237"/>
      <c r="B51" s="141">
        <f t="shared" si="20"/>
        <v>13</v>
      </c>
      <c r="C51" s="135">
        <v>60696.594693971703</v>
      </c>
      <c r="D51" s="133">
        <v>2</v>
      </c>
      <c r="E51" s="135">
        <f t="shared" ref="E51:E59" si="21">+((C48*D48)+(C49*D49)+(C50*D50))/6</f>
        <v>55694.442401601125</v>
      </c>
      <c r="F51" s="135">
        <f>+E51-C51</f>
        <v>-5002.1522923705779</v>
      </c>
      <c r="G51" s="157">
        <f>+F51/C51</f>
        <v>-8.241240414871881E-2</v>
      </c>
      <c r="H51" s="162"/>
      <c r="I51" s="162"/>
      <c r="J51" s="162"/>
    </row>
    <row r="52" spans="1:10" x14ac:dyDescent="0.25">
      <c r="A52" s="237"/>
      <c r="B52" s="141">
        <f t="shared" si="20"/>
        <v>14</v>
      </c>
      <c r="C52" s="135">
        <v>61917.324077675883</v>
      </c>
      <c r="D52" s="133">
        <v>3</v>
      </c>
      <c r="E52" s="135">
        <f t="shared" si="21"/>
        <v>62259.352585941029</v>
      </c>
      <c r="F52" s="135">
        <f>+E52-C52</f>
        <v>342.02850826514623</v>
      </c>
      <c r="G52" s="157">
        <f>+F52/C52</f>
        <v>5.5239549408832361E-3</v>
      </c>
      <c r="H52" s="162"/>
      <c r="I52" s="162"/>
      <c r="J52" s="162"/>
    </row>
    <row r="53" spans="1:10" x14ac:dyDescent="0.25">
      <c r="A53" s="237"/>
      <c r="B53" s="141">
        <f t="shared" si="20"/>
        <v>15</v>
      </c>
      <c r="C53" s="135">
        <v>63138.053461380063</v>
      </c>
      <c r="D53" s="133">
        <v>1</v>
      </c>
      <c r="E53" s="135">
        <f t="shared" si="21"/>
        <v>63748.409555978964</v>
      </c>
      <c r="F53" s="135">
        <f t="shared" ref="F53:F59" si="22">+E53-C53</f>
        <v>610.35609459890111</v>
      </c>
      <c r="G53" s="157">
        <f t="shared" ref="G53:G59" si="23">+F53/C53</f>
        <v>9.6670084226185456E-3</v>
      </c>
      <c r="H53" s="162"/>
      <c r="I53" s="162"/>
      <c r="J53" s="162"/>
    </row>
    <row r="54" spans="1:10" x14ac:dyDescent="0.25">
      <c r="A54" s="237"/>
      <c r="B54" s="141">
        <f t="shared" si="20"/>
        <v>16</v>
      </c>
      <c r="C54" s="135">
        <v>64358.782845084235</v>
      </c>
      <c r="D54" s="133">
        <v>3</v>
      </c>
      <c r="E54" s="135">
        <f t="shared" si="21"/>
        <v>61713.869180391855</v>
      </c>
      <c r="F54" s="135">
        <f t="shared" si="22"/>
        <v>-2644.9136646923798</v>
      </c>
      <c r="G54" s="157">
        <f t="shared" si="23"/>
        <v>-4.1096390387911137E-2</v>
      </c>
      <c r="H54" s="162"/>
      <c r="I54" s="162"/>
      <c r="J54" s="162"/>
    </row>
    <row r="55" spans="1:10" x14ac:dyDescent="0.25">
      <c r="A55" s="237"/>
      <c r="B55" s="141">
        <f t="shared" si="20"/>
        <v>17</v>
      </c>
      <c r="C55" s="135">
        <v>65579.512228788415</v>
      </c>
      <c r="D55" s="133">
        <v>2</v>
      </c>
      <c r="E55" s="135">
        <f t="shared" si="21"/>
        <v>73661.062371610067</v>
      </c>
      <c r="F55" s="135">
        <f t="shared" si="22"/>
        <v>8081.5501428216521</v>
      </c>
      <c r="G55" s="157">
        <f t="shared" si="23"/>
        <v>0.12323284922625535</v>
      </c>
      <c r="H55" s="162"/>
      <c r="I55" s="162"/>
      <c r="J55" s="162"/>
    </row>
    <row r="56" spans="1:10" x14ac:dyDescent="0.25">
      <c r="A56" s="237"/>
      <c r="B56" s="141">
        <f t="shared" si="20"/>
        <v>18</v>
      </c>
      <c r="C56" s="135">
        <v>66800.241612492595</v>
      </c>
      <c r="D56" s="133">
        <v>1</v>
      </c>
      <c r="E56" s="135">
        <f t="shared" si="21"/>
        <v>64562.23774236827</v>
      </c>
      <c r="F56" s="135">
        <f t="shared" si="22"/>
        <v>-2238.0038701243247</v>
      </c>
      <c r="G56" s="157">
        <f t="shared" si="23"/>
        <v>-3.3502930769426828E-2</v>
      </c>
      <c r="H56" s="162"/>
      <c r="I56" s="162"/>
      <c r="J56" s="162"/>
    </row>
    <row r="57" spans="1:10" x14ac:dyDescent="0.25">
      <c r="A57" s="237"/>
      <c r="B57" s="141">
        <f t="shared" si="20"/>
        <v>19</v>
      </c>
      <c r="C57" s="135">
        <v>68020.970996196775</v>
      </c>
      <c r="D57" s="133">
        <v>3</v>
      </c>
      <c r="E57" s="135">
        <f t="shared" si="21"/>
        <v>65172.602434220353</v>
      </c>
      <c r="F57" s="135">
        <f t="shared" si="22"/>
        <v>-2848.3685619764219</v>
      </c>
      <c r="G57" s="157">
        <f t="shared" si="23"/>
        <v>-4.1874858889263449E-2</v>
      </c>
      <c r="H57" s="162"/>
      <c r="I57" s="162"/>
      <c r="J57" s="162"/>
    </row>
    <row r="58" spans="1:10" x14ac:dyDescent="0.25">
      <c r="A58" s="237"/>
      <c r="B58" s="141">
        <f t="shared" si="20"/>
        <v>20</v>
      </c>
      <c r="C58" s="135">
        <v>69241.700379900954</v>
      </c>
      <c r="D58" s="133">
        <v>2</v>
      </c>
      <c r="E58" s="135">
        <f t="shared" si="21"/>
        <v>67003.696509776622</v>
      </c>
      <c r="F58" s="135">
        <f t="shared" si="22"/>
        <v>-2238.003870124332</v>
      </c>
      <c r="G58" s="157">
        <f t="shared" si="23"/>
        <v>-3.2321619166561739E-2</v>
      </c>
      <c r="H58" s="162"/>
      <c r="I58" s="162"/>
      <c r="J58" s="162"/>
    </row>
    <row r="59" spans="1:10" x14ac:dyDescent="0.25">
      <c r="A59" s="237"/>
      <c r="B59" s="141">
        <f t="shared" si="20"/>
        <v>21</v>
      </c>
      <c r="C59" s="135">
        <v>70462.42976360512</v>
      </c>
      <c r="D59" s="133">
        <v>1</v>
      </c>
      <c r="E59" s="135">
        <f t="shared" si="21"/>
        <v>68224.425893480802</v>
      </c>
      <c r="F59" s="135">
        <f t="shared" si="22"/>
        <v>-2238.0038701243175</v>
      </c>
      <c r="G59" s="157">
        <f t="shared" si="23"/>
        <v>-3.1761661890352233E-2</v>
      </c>
      <c r="H59" s="162"/>
      <c r="I59" s="162"/>
      <c r="J59" s="162"/>
    </row>
    <row r="60" spans="1:10" x14ac:dyDescent="0.25">
      <c r="A60" s="237"/>
      <c r="B60" s="141">
        <f t="shared" si="20"/>
        <v>22</v>
      </c>
      <c r="C60" s="135">
        <v>71683.159147309314</v>
      </c>
      <c r="D60" s="133">
        <v>3</v>
      </c>
      <c r="E60" s="135">
        <f t="shared" ref="E60:E62" si="24">+((C57*D57)+(C58*D58)+(C59*D59))/6</f>
        <v>68834.790585332885</v>
      </c>
      <c r="F60" s="135">
        <f t="shared" ref="F60:F62" si="25">+E60-C60</f>
        <v>-2848.3685619764292</v>
      </c>
      <c r="G60" s="157">
        <f t="shared" ref="G60:G62" si="26">+F60/C60</f>
        <v>-3.9735533364580307E-2</v>
      </c>
      <c r="H60" s="162"/>
      <c r="I60" s="162"/>
      <c r="J60" s="162"/>
    </row>
    <row r="61" spans="1:10" x14ac:dyDescent="0.25">
      <c r="A61" s="237"/>
      <c r="B61" s="141">
        <f t="shared" si="20"/>
        <v>23</v>
      </c>
      <c r="C61" s="135">
        <v>72903.888531013479</v>
      </c>
      <c r="D61" s="133">
        <v>2</v>
      </c>
      <c r="E61" s="135">
        <f t="shared" si="24"/>
        <v>70665.884660889162</v>
      </c>
      <c r="F61" s="135">
        <f t="shared" si="25"/>
        <v>-2238.0038701243175</v>
      </c>
      <c r="G61" s="157">
        <f t="shared" si="26"/>
        <v>-3.0698004114996767E-2</v>
      </c>
      <c r="H61" s="162"/>
      <c r="I61" s="162"/>
      <c r="J61" s="162"/>
    </row>
    <row r="62" spans="1:10" ht="15.75" thickBot="1" x14ac:dyDescent="0.3">
      <c r="A62" s="238"/>
      <c r="B62" s="142">
        <f t="shared" si="20"/>
        <v>24</v>
      </c>
      <c r="C62" s="135">
        <v>74124.617914717659</v>
      </c>
      <c r="D62" s="133">
        <v>3</v>
      </c>
      <c r="E62" s="135">
        <f t="shared" si="24"/>
        <v>71886.614044593342</v>
      </c>
      <c r="F62" s="135">
        <f t="shared" si="25"/>
        <v>-2238.0038701243175</v>
      </c>
      <c r="G62" s="157">
        <f t="shared" si="26"/>
        <v>-3.0192450674068907E-2</v>
      </c>
      <c r="H62" s="162"/>
      <c r="I62" s="162"/>
      <c r="J62" s="162"/>
    </row>
    <row r="63" spans="1:10" x14ac:dyDescent="0.25">
      <c r="A63" s="236" t="s">
        <v>150</v>
      </c>
      <c r="B63" s="140">
        <v>10</v>
      </c>
      <c r="C63" s="147">
        <f>+'VENTAS AÑO ANTERIOR'!J43</f>
        <v>42673.971089999999</v>
      </c>
      <c r="D63" s="133">
        <v>3</v>
      </c>
      <c r="E63" s="135"/>
      <c r="F63" s="133"/>
      <c r="G63" s="156"/>
      <c r="H63" s="2"/>
      <c r="I63" s="2"/>
      <c r="J63" s="2"/>
    </row>
    <row r="64" spans="1:10" x14ac:dyDescent="0.25">
      <c r="A64" s="237"/>
      <c r="B64" s="141">
        <f>+B63+1</f>
        <v>11</v>
      </c>
      <c r="C64" s="147">
        <f>+'VENTAS AÑO ANTERIOR'!K43</f>
        <v>62492.894775240005</v>
      </c>
      <c r="D64" s="133">
        <v>1</v>
      </c>
      <c r="E64" s="135"/>
      <c r="F64" s="133"/>
      <c r="G64" s="156"/>
      <c r="H64" s="2"/>
      <c r="I64" s="2"/>
      <c r="J64" s="2"/>
    </row>
    <row r="65" spans="1:10" x14ac:dyDescent="0.25">
      <c r="A65" s="237"/>
      <c r="B65" s="141">
        <f t="shared" ref="B65:B77" si="27">+B64+1</f>
        <v>12</v>
      </c>
      <c r="C65" s="147">
        <f>+'VENTAS AÑO ANTERIOR'!L43</f>
        <v>59940.392543520007</v>
      </c>
      <c r="D65" s="133">
        <v>2</v>
      </c>
      <c r="E65" s="135"/>
      <c r="F65" s="133"/>
      <c r="G65" s="156"/>
      <c r="H65" s="2"/>
      <c r="I65" s="2"/>
      <c r="J65" s="2"/>
    </row>
    <row r="66" spans="1:10" x14ac:dyDescent="0.25">
      <c r="A66" s="237"/>
      <c r="B66" s="141">
        <f t="shared" si="27"/>
        <v>13</v>
      </c>
      <c r="C66" s="135">
        <v>44977.7329911739</v>
      </c>
      <c r="D66" s="151">
        <v>3</v>
      </c>
      <c r="E66" s="135">
        <f t="shared" ref="E66:E74" si="28">+((C63*D63)+(C64*D64)+(C65*D65))/6</f>
        <v>51732.598855380005</v>
      </c>
      <c r="F66" s="135">
        <f>+E66-C66</f>
        <v>6754.8658642061055</v>
      </c>
      <c r="G66" s="157">
        <f>+F66/C66</f>
        <v>0.15018244395580432</v>
      </c>
      <c r="H66" s="162"/>
      <c r="I66" s="162"/>
      <c r="J66" s="162"/>
    </row>
    <row r="67" spans="1:10" x14ac:dyDescent="0.25">
      <c r="A67" s="237"/>
      <c r="B67" s="141">
        <f t="shared" si="27"/>
        <v>14</v>
      </c>
      <c r="C67" s="135">
        <v>45882.324765252124</v>
      </c>
      <c r="D67" s="133">
        <v>1</v>
      </c>
      <c r="E67" s="135">
        <f t="shared" si="28"/>
        <v>52884.479805966956</v>
      </c>
      <c r="F67" s="135">
        <f>+E67-C67</f>
        <v>7002.1550407148316</v>
      </c>
      <c r="G67" s="157">
        <f>+F67/C67</f>
        <v>0.15261116511728598</v>
      </c>
      <c r="H67" s="162"/>
      <c r="I67" s="162"/>
      <c r="J67" s="162"/>
    </row>
    <row r="68" spans="1:10" x14ac:dyDescent="0.25">
      <c r="A68" s="237"/>
      <c r="B68" s="141">
        <f t="shared" si="27"/>
        <v>15</v>
      </c>
      <c r="C68" s="135">
        <v>46786.916539330348</v>
      </c>
      <c r="D68" s="133">
        <v>2</v>
      </c>
      <c r="E68" s="135">
        <f t="shared" si="28"/>
        <v>50116.051470968967</v>
      </c>
      <c r="F68" s="135">
        <f t="shared" ref="F68:F74" si="29">+E68-C68</f>
        <v>3329.1349316386186</v>
      </c>
      <c r="G68" s="157">
        <f t="shared" ref="G68:G74" si="30">+F68/C68</f>
        <v>7.1155254030046147E-2</v>
      </c>
      <c r="H68" s="162"/>
      <c r="I68" s="162"/>
      <c r="J68" s="162"/>
    </row>
    <row r="69" spans="1:10" x14ac:dyDescent="0.25">
      <c r="A69" s="237"/>
      <c r="B69" s="141">
        <f t="shared" si="27"/>
        <v>16</v>
      </c>
      <c r="C69" s="135">
        <v>47691.508313408573</v>
      </c>
      <c r="D69" s="133">
        <v>3</v>
      </c>
      <c r="E69" s="135">
        <f t="shared" si="28"/>
        <v>45731.559469572421</v>
      </c>
      <c r="F69" s="135">
        <f t="shared" si="29"/>
        <v>-1959.9488438361514</v>
      </c>
      <c r="G69" s="157">
        <f t="shared" si="30"/>
        <v>-4.1096390387911207E-2</v>
      </c>
      <c r="H69" s="162"/>
      <c r="I69" s="162"/>
      <c r="J69" s="162"/>
    </row>
    <row r="70" spans="1:10" x14ac:dyDescent="0.25">
      <c r="A70" s="237"/>
      <c r="B70" s="141">
        <f t="shared" si="27"/>
        <v>17</v>
      </c>
      <c r="C70" s="135">
        <v>48596.10008748679</v>
      </c>
      <c r="D70" s="133">
        <v>1</v>
      </c>
      <c r="E70" s="135">
        <f t="shared" si="28"/>
        <v>47088.447130689754</v>
      </c>
      <c r="F70" s="135">
        <f t="shared" si="29"/>
        <v>-1507.6529567970356</v>
      </c>
      <c r="G70" s="157">
        <f t="shared" si="30"/>
        <v>-3.1024155314579398E-2</v>
      </c>
      <c r="H70" s="162"/>
      <c r="I70" s="162"/>
      <c r="J70" s="162"/>
    </row>
    <row r="71" spans="1:10" x14ac:dyDescent="0.25">
      <c r="A71" s="237"/>
      <c r="B71" s="141">
        <f t="shared" si="27"/>
        <v>18</v>
      </c>
      <c r="C71" s="135">
        <v>49500.691861565014</v>
      </c>
      <c r="D71" s="133">
        <v>2</v>
      </c>
      <c r="E71" s="135">
        <f t="shared" si="28"/>
        <v>47540.74301772887</v>
      </c>
      <c r="F71" s="135">
        <f t="shared" si="29"/>
        <v>-1959.9488438361441</v>
      </c>
      <c r="G71" s="157">
        <f t="shared" si="30"/>
        <v>-3.9594372727504303E-2</v>
      </c>
      <c r="H71" s="162"/>
      <c r="I71" s="162"/>
      <c r="J71" s="162"/>
    </row>
    <row r="72" spans="1:10" x14ac:dyDescent="0.25">
      <c r="A72" s="237"/>
      <c r="B72" s="141">
        <f t="shared" si="27"/>
        <v>19</v>
      </c>
      <c r="C72" s="135">
        <v>50405.283635643238</v>
      </c>
      <c r="D72" s="133">
        <v>3</v>
      </c>
      <c r="E72" s="135">
        <f t="shared" si="28"/>
        <v>48445.334791807087</v>
      </c>
      <c r="F72" s="135">
        <f t="shared" si="29"/>
        <v>-1959.9488438361514</v>
      </c>
      <c r="G72" s="157">
        <f t="shared" si="30"/>
        <v>-3.8883797540030247E-2</v>
      </c>
      <c r="H72" s="162"/>
      <c r="I72" s="162"/>
      <c r="J72" s="162"/>
    </row>
    <row r="73" spans="1:10" x14ac:dyDescent="0.25">
      <c r="A73" s="237"/>
      <c r="B73" s="141">
        <f t="shared" si="27"/>
        <v>20</v>
      </c>
      <c r="C73" s="135">
        <v>51309.875409721462</v>
      </c>
      <c r="D73" s="133">
        <v>1</v>
      </c>
      <c r="E73" s="135">
        <f t="shared" si="28"/>
        <v>49802.222452924419</v>
      </c>
      <c r="F73" s="135">
        <f t="shared" si="29"/>
        <v>-1507.6529567970429</v>
      </c>
      <c r="G73" s="157">
        <f t="shared" si="30"/>
        <v>-2.9383290151419748E-2</v>
      </c>
      <c r="H73" s="162"/>
      <c r="I73" s="162"/>
      <c r="J73" s="162"/>
    </row>
    <row r="74" spans="1:10" x14ac:dyDescent="0.25">
      <c r="A74" s="237"/>
      <c r="B74" s="141">
        <f t="shared" si="27"/>
        <v>21</v>
      </c>
      <c r="C74" s="135">
        <v>52214.467183799687</v>
      </c>
      <c r="D74" s="133">
        <v>2</v>
      </c>
      <c r="E74" s="135">
        <f t="shared" si="28"/>
        <v>50254.518339963535</v>
      </c>
      <c r="F74" s="135">
        <f t="shared" si="29"/>
        <v>-1959.9488438361514</v>
      </c>
      <c r="G74" s="157">
        <f t="shared" si="30"/>
        <v>-3.7536509506780037E-2</v>
      </c>
      <c r="H74" s="162"/>
      <c r="I74" s="162"/>
      <c r="J74" s="162"/>
    </row>
    <row r="75" spans="1:10" x14ac:dyDescent="0.25">
      <c r="A75" s="237"/>
      <c r="B75" s="141">
        <f t="shared" si="27"/>
        <v>22</v>
      </c>
      <c r="C75" s="135">
        <v>53119.058957877904</v>
      </c>
      <c r="D75" s="133">
        <v>3</v>
      </c>
      <c r="E75" s="135">
        <f t="shared" ref="E75:E77" si="31">+((C72*D72)+(C73*D73)+(C74*D74))/6</f>
        <v>51159.110114041752</v>
      </c>
      <c r="F75" s="135">
        <f t="shared" ref="F75:F77" si="32">+E75-C75</f>
        <v>-1959.9488438361514</v>
      </c>
      <c r="G75" s="157">
        <f t="shared" ref="G75:G77" si="33">+F75/C75</f>
        <v>-3.6897280981395816E-2</v>
      </c>
      <c r="H75" s="162"/>
      <c r="I75" s="162"/>
      <c r="J75" s="162"/>
    </row>
    <row r="76" spans="1:10" x14ac:dyDescent="0.25">
      <c r="A76" s="237"/>
      <c r="B76" s="141">
        <f t="shared" si="27"/>
        <v>23</v>
      </c>
      <c r="C76" s="135">
        <v>54023.650731956135</v>
      </c>
      <c r="D76" s="133">
        <v>1</v>
      </c>
      <c r="E76" s="135">
        <f t="shared" si="31"/>
        <v>52515.997775159085</v>
      </c>
      <c r="F76" s="135">
        <f t="shared" si="32"/>
        <v>-1507.6529567970501</v>
      </c>
      <c r="G76" s="157">
        <f t="shared" si="33"/>
        <v>-2.7907276468179174E-2</v>
      </c>
      <c r="H76" s="162"/>
      <c r="I76" s="162"/>
      <c r="J76" s="162"/>
    </row>
    <row r="77" spans="1:10" ht="15.75" thickBot="1" x14ac:dyDescent="0.3">
      <c r="A77" s="238"/>
      <c r="B77" s="142">
        <f t="shared" si="27"/>
        <v>24</v>
      </c>
      <c r="C77" s="135">
        <v>54928.242506034352</v>
      </c>
      <c r="D77" s="133">
        <v>2</v>
      </c>
      <c r="E77" s="135">
        <f t="shared" si="31"/>
        <v>52968.293662198201</v>
      </c>
      <c r="F77" s="135">
        <f t="shared" si="32"/>
        <v>-1959.9488438361514</v>
      </c>
      <c r="G77" s="157">
        <f t="shared" si="33"/>
        <v>-3.5681987160263384E-2</v>
      </c>
      <c r="H77" s="162"/>
      <c r="I77" s="162"/>
      <c r="J77" s="162"/>
    </row>
    <row r="78" spans="1:10" x14ac:dyDescent="0.25">
      <c r="A78" s="236" t="s">
        <v>151</v>
      </c>
      <c r="B78" s="81">
        <v>10</v>
      </c>
      <c r="C78" s="146">
        <v>33983.361285542458</v>
      </c>
      <c r="D78" s="133">
        <v>1</v>
      </c>
      <c r="E78" s="135"/>
      <c r="F78" s="133"/>
      <c r="G78" s="156"/>
      <c r="H78" s="2"/>
      <c r="I78" s="2"/>
      <c r="J78" s="2"/>
    </row>
    <row r="79" spans="1:10" x14ac:dyDescent="0.25">
      <c r="A79" s="237"/>
      <c r="B79" s="143">
        <f>+B78+1</f>
        <v>11</v>
      </c>
      <c r="C79" s="146">
        <v>48850.278248447998</v>
      </c>
      <c r="D79" s="133">
        <v>2</v>
      </c>
      <c r="E79" s="135"/>
      <c r="F79" s="133"/>
      <c r="G79" s="156"/>
      <c r="H79" s="2"/>
      <c r="I79" s="2"/>
      <c r="J79" s="2"/>
    </row>
    <row r="80" spans="1:10" x14ac:dyDescent="0.25">
      <c r="A80" s="237"/>
      <c r="B80" s="143">
        <f t="shared" ref="B80:B92" si="34">+B79+1</f>
        <v>12</v>
      </c>
      <c r="C80" s="146">
        <v>62448.048621482085</v>
      </c>
      <c r="D80" s="133">
        <v>3</v>
      </c>
      <c r="E80" s="135"/>
      <c r="F80" s="133"/>
      <c r="G80" s="156"/>
      <c r="H80" s="2"/>
      <c r="I80" s="2"/>
      <c r="J80" s="2"/>
    </row>
    <row r="81" spans="1:10" x14ac:dyDescent="0.25">
      <c r="A81" s="237"/>
      <c r="B81" s="141">
        <f t="shared" si="34"/>
        <v>13</v>
      </c>
      <c r="C81" s="135">
        <v>50306.842127873242</v>
      </c>
      <c r="D81" s="133">
        <v>1</v>
      </c>
      <c r="E81" s="135">
        <f t="shared" ref="E81:E89" si="35">+((C78*D78)+(C79*D79)+(C80*D80))/6</f>
        <v>53171.343941147446</v>
      </c>
      <c r="F81" s="135">
        <f>+E81-C81</f>
        <v>2864.5018132742043</v>
      </c>
      <c r="G81" s="157">
        <f>+F81/C81</f>
        <v>5.6940600763471204E-2</v>
      </c>
      <c r="H81" s="162"/>
      <c r="I81" s="162"/>
      <c r="J81" s="162"/>
    </row>
    <row r="82" spans="1:10" x14ac:dyDescent="0.25">
      <c r="A82" s="237"/>
      <c r="B82" s="141">
        <f t="shared" si="34"/>
        <v>14</v>
      </c>
      <c r="C82" s="135">
        <v>51318.612898482243</v>
      </c>
      <c r="D82" s="133">
        <v>2</v>
      </c>
      <c r="E82" s="135">
        <f t="shared" si="35"/>
        <v>55891.924081535915</v>
      </c>
      <c r="F82" s="135">
        <f>+E82-C82</f>
        <v>4573.3111830536727</v>
      </c>
      <c r="G82" s="157">
        <f>+F82/C82</f>
        <v>8.9116032658570335E-2</v>
      </c>
      <c r="H82" s="162"/>
      <c r="I82" s="162"/>
      <c r="J82" s="162"/>
    </row>
    <row r="83" spans="1:10" x14ac:dyDescent="0.25">
      <c r="A83" s="237"/>
      <c r="B83" s="141">
        <f t="shared" si="34"/>
        <v>15</v>
      </c>
      <c r="C83" s="135">
        <v>52330.383669091243</v>
      </c>
      <c r="D83" s="133">
        <v>3</v>
      </c>
      <c r="E83" s="135">
        <f t="shared" si="35"/>
        <v>56714.702298213997</v>
      </c>
      <c r="F83" s="135">
        <f t="shared" ref="F83:F89" si="36">+E83-C83</f>
        <v>4384.3186291227539</v>
      </c>
      <c r="G83" s="157">
        <f t="shared" ref="G83:G89" si="37">+F83/C83</f>
        <v>8.3781511269758496E-2</v>
      </c>
      <c r="H83" s="162"/>
      <c r="I83" s="162"/>
      <c r="J83" s="162"/>
    </row>
    <row r="84" spans="1:10" x14ac:dyDescent="0.25">
      <c r="A84" s="237"/>
      <c r="B84" s="141">
        <f t="shared" si="34"/>
        <v>16</v>
      </c>
      <c r="C84" s="135">
        <v>53342.154439700244</v>
      </c>
      <c r="D84" s="133">
        <v>1</v>
      </c>
      <c r="E84" s="135">
        <f t="shared" si="35"/>
        <v>51655.869822018576</v>
      </c>
      <c r="F84" s="135">
        <f t="shared" si="36"/>
        <v>-1686.2846176816674</v>
      </c>
      <c r="G84" s="157">
        <f t="shared" si="37"/>
        <v>-3.1612607990700863E-2</v>
      </c>
      <c r="H84" s="162"/>
      <c r="I84" s="162"/>
      <c r="J84" s="162"/>
    </row>
    <row r="85" spans="1:10" x14ac:dyDescent="0.25">
      <c r="A85" s="237"/>
      <c r="B85" s="141">
        <f t="shared" si="34"/>
        <v>17</v>
      </c>
      <c r="C85" s="135">
        <v>54353.925210309244</v>
      </c>
      <c r="D85" s="133">
        <v>2</v>
      </c>
      <c r="E85" s="135">
        <f t="shared" si="35"/>
        <v>52161.755207323084</v>
      </c>
      <c r="F85" s="135">
        <f t="shared" si="36"/>
        <v>-2192.1700029861604</v>
      </c>
      <c r="G85" s="157">
        <f t="shared" si="37"/>
        <v>-4.0331401908953103E-2</v>
      </c>
      <c r="H85" s="162"/>
      <c r="I85" s="162"/>
      <c r="J85" s="162"/>
    </row>
    <row r="86" spans="1:10" x14ac:dyDescent="0.25">
      <c r="A86" s="237"/>
      <c r="B86" s="141">
        <f t="shared" si="34"/>
        <v>18</v>
      </c>
      <c r="C86" s="135">
        <v>55365.695980918244</v>
      </c>
      <c r="D86" s="133">
        <v>3</v>
      </c>
      <c r="E86" s="135">
        <f t="shared" si="35"/>
        <v>53173.52597793207</v>
      </c>
      <c r="F86" s="135">
        <f t="shared" si="36"/>
        <v>-2192.1700029861749</v>
      </c>
      <c r="G86" s="157">
        <f t="shared" si="37"/>
        <v>-3.9594372727504504E-2</v>
      </c>
      <c r="H86" s="162"/>
      <c r="I86" s="162"/>
      <c r="J86" s="162"/>
    </row>
    <row r="87" spans="1:10" x14ac:dyDescent="0.25">
      <c r="A87" s="237"/>
      <c r="B87" s="141">
        <f t="shared" si="34"/>
        <v>19</v>
      </c>
      <c r="C87" s="135">
        <v>56377.466751527245</v>
      </c>
      <c r="D87" s="133">
        <v>1</v>
      </c>
      <c r="E87" s="135">
        <f t="shared" si="35"/>
        <v>54691.182133845577</v>
      </c>
      <c r="F87" s="135">
        <f t="shared" si="36"/>
        <v>-1686.2846176816674</v>
      </c>
      <c r="G87" s="157">
        <f t="shared" si="37"/>
        <v>-2.9910613492330897E-2</v>
      </c>
      <c r="H87" s="162"/>
      <c r="I87" s="162"/>
      <c r="J87" s="162"/>
    </row>
    <row r="88" spans="1:10" x14ac:dyDescent="0.25">
      <c r="A88" s="237"/>
      <c r="B88" s="141">
        <f t="shared" si="34"/>
        <v>20</v>
      </c>
      <c r="C88" s="135">
        <v>57389.237522136245</v>
      </c>
      <c r="D88" s="133">
        <v>2</v>
      </c>
      <c r="E88" s="135">
        <f t="shared" si="35"/>
        <v>55197.06751915007</v>
      </c>
      <c r="F88" s="135">
        <f t="shared" si="36"/>
        <v>-2192.1700029861749</v>
      </c>
      <c r="G88" s="157">
        <f t="shared" si="37"/>
        <v>-3.819827719684564E-2</v>
      </c>
      <c r="H88" s="162"/>
      <c r="I88" s="162"/>
      <c r="J88" s="162"/>
    </row>
    <row r="89" spans="1:10" x14ac:dyDescent="0.25">
      <c r="A89" s="237"/>
      <c r="B89" s="141">
        <f t="shared" si="34"/>
        <v>21</v>
      </c>
      <c r="C89" s="135">
        <v>58401.008292745246</v>
      </c>
      <c r="D89" s="133">
        <v>3</v>
      </c>
      <c r="E89" s="135">
        <f t="shared" si="35"/>
        <v>56208.838289759085</v>
      </c>
      <c r="F89" s="135">
        <f t="shared" si="36"/>
        <v>-2192.1700029861604</v>
      </c>
      <c r="G89" s="157">
        <f t="shared" si="37"/>
        <v>-3.7536509506779843E-2</v>
      </c>
      <c r="H89" s="162"/>
      <c r="I89" s="162"/>
      <c r="J89" s="162"/>
    </row>
    <row r="90" spans="1:10" x14ac:dyDescent="0.25">
      <c r="A90" s="237"/>
      <c r="B90" s="141">
        <f t="shared" si="34"/>
        <v>22</v>
      </c>
      <c r="C90" s="135">
        <v>59412.779063354246</v>
      </c>
      <c r="D90" s="133">
        <v>1</v>
      </c>
      <c r="E90" s="135">
        <f t="shared" ref="E90:E92" si="38">+((C87*D87)+(C88*D88)+(C89*D89))/6</f>
        <v>57726.494445672579</v>
      </c>
      <c r="F90" s="135">
        <f t="shared" ref="F90:F92" si="39">+E90-C90</f>
        <v>-1686.2846176816674</v>
      </c>
      <c r="G90" s="157">
        <f t="shared" ref="G90:G92" si="40">+F90/C90</f>
        <v>-2.8382523831842879E-2</v>
      </c>
      <c r="H90" s="162"/>
      <c r="I90" s="162"/>
      <c r="J90" s="162"/>
    </row>
    <row r="91" spans="1:10" x14ac:dyDescent="0.25">
      <c r="A91" s="237"/>
      <c r="B91" s="141">
        <f t="shared" si="34"/>
        <v>23</v>
      </c>
      <c r="C91" s="135">
        <v>60424.549833963254</v>
      </c>
      <c r="D91" s="133">
        <v>2</v>
      </c>
      <c r="E91" s="135">
        <f t="shared" si="38"/>
        <v>58232.379830977086</v>
      </c>
      <c r="F91" s="135">
        <f t="shared" si="39"/>
        <v>-2192.1700029861677</v>
      </c>
      <c r="G91" s="157">
        <f t="shared" si="40"/>
        <v>-3.62794594086326E-2</v>
      </c>
      <c r="H91" s="162"/>
      <c r="I91" s="162"/>
      <c r="J91" s="162"/>
    </row>
    <row r="92" spans="1:10" ht="15.75" thickBot="1" x14ac:dyDescent="0.3">
      <c r="A92" s="238"/>
      <c r="B92" s="142">
        <f t="shared" si="34"/>
        <v>24</v>
      </c>
      <c r="C92" s="159">
        <v>61436.320604572255</v>
      </c>
      <c r="D92" s="160">
        <v>3</v>
      </c>
      <c r="E92" s="135">
        <f t="shared" si="38"/>
        <v>59244.150601586087</v>
      </c>
      <c r="F92" s="135">
        <f t="shared" si="39"/>
        <v>-2192.1700029861677</v>
      </c>
      <c r="G92" s="157">
        <f t="shared" si="40"/>
        <v>-3.5681987160263315E-2</v>
      </c>
      <c r="H92" s="162"/>
      <c r="I92" s="162"/>
      <c r="J92" s="162"/>
    </row>
  </sheetData>
  <mergeCells count="8">
    <mergeCell ref="A48:A62"/>
    <mergeCell ref="A63:A77"/>
    <mergeCell ref="A78:A92"/>
    <mergeCell ref="A1:G1"/>
    <mergeCell ref="K1:Q1"/>
    <mergeCell ref="A3:A17"/>
    <mergeCell ref="A18:A32"/>
    <mergeCell ref="A33:A47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workbookViewId="0">
      <selection activeCell="G5" sqref="G5"/>
    </sheetView>
  </sheetViews>
  <sheetFormatPr baseColWidth="10" defaultRowHeight="15" x14ac:dyDescent="0.25"/>
  <cols>
    <col min="1" max="1" width="18" style="4" customWidth="1"/>
    <col min="2" max="2" width="6.140625" style="4" customWidth="1"/>
    <col min="3" max="3" width="12" style="4" bestFit="1" customWidth="1"/>
    <col min="4" max="4" width="14.28515625" style="4" customWidth="1"/>
    <col min="5" max="5" width="19.28515625" style="4" bestFit="1" customWidth="1"/>
    <col min="6" max="6" width="17.85546875" style="4" customWidth="1"/>
    <col min="7" max="7" width="13" style="4" bestFit="1" customWidth="1"/>
    <col min="8" max="8" width="11.42578125" style="4"/>
    <col min="9" max="9" width="4.140625" style="4" customWidth="1"/>
    <col min="10" max="10" width="17.85546875" style="4" customWidth="1"/>
    <col min="11" max="11" width="11.42578125" style="4"/>
    <col min="12" max="12" width="15" style="4" customWidth="1"/>
    <col min="13" max="13" width="11.42578125" style="4"/>
    <col min="14" max="14" width="19.7109375" style="4" customWidth="1"/>
    <col min="15" max="15" width="16.7109375" style="4" customWidth="1"/>
    <col min="16" max="16" width="11.42578125" style="4"/>
    <col min="17" max="17" width="6.85546875" style="4" customWidth="1"/>
    <col min="18" max="16384" width="11.42578125" style="4"/>
  </cols>
  <sheetData>
    <row r="1" spans="1:17" x14ac:dyDescent="0.25">
      <c r="A1" s="81" t="s">
        <v>155</v>
      </c>
      <c r="B1" s="74"/>
      <c r="C1" s="74"/>
      <c r="D1" s="74"/>
      <c r="E1" s="74"/>
      <c r="F1" s="74"/>
      <c r="G1" s="74"/>
      <c r="H1" s="75"/>
      <c r="J1" s="164" t="s">
        <v>48</v>
      </c>
      <c r="K1" s="74"/>
      <c r="L1" s="74"/>
      <c r="M1" s="74"/>
      <c r="N1" s="74"/>
      <c r="O1" s="74"/>
      <c r="P1" s="74"/>
      <c r="Q1" s="75"/>
    </row>
    <row r="2" spans="1:17" s="170" customFormat="1" ht="36" x14ac:dyDescent="0.25">
      <c r="A2" s="165" t="s">
        <v>156</v>
      </c>
      <c r="B2" s="166"/>
      <c r="C2" s="166" t="s">
        <v>157</v>
      </c>
      <c r="D2" s="166" t="s">
        <v>158</v>
      </c>
      <c r="E2" s="167" t="s">
        <v>159</v>
      </c>
      <c r="F2" s="167" t="s">
        <v>160</v>
      </c>
      <c r="G2" s="168" t="s">
        <v>161</v>
      </c>
      <c r="H2" s="169" t="s">
        <v>162</v>
      </c>
      <c r="J2" s="165" t="s">
        <v>156</v>
      </c>
      <c r="K2" s="166"/>
      <c r="L2" s="166" t="s">
        <v>157</v>
      </c>
      <c r="M2" s="166" t="s">
        <v>158</v>
      </c>
      <c r="N2" s="167" t="s">
        <v>159</v>
      </c>
      <c r="O2" s="167" t="s">
        <v>160</v>
      </c>
      <c r="P2" s="168" t="s">
        <v>161</v>
      </c>
      <c r="Q2" s="169" t="s">
        <v>162</v>
      </c>
    </row>
    <row r="3" spans="1:17" s="176" customFormat="1" ht="23.25" x14ac:dyDescent="0.35">
      <c r="A3" s="171">
        <v>1623441.6523044482</v>
      </c>
      <c r="B3" s="172" t="s">
        <v>163</v>
      </c>
      <c r="C3" s="173">
        <v>4910</v>
      </c>
      <c r="D3" s="174"/>
      <c r="E3" s="174"/>
      <c r="F3" s="174"/>
      <c r="G3" s="174"/>
      <c r="H3" s="175"/>
      <c r="J3" s="171">
        <v>338217.01089675998</v>
      </c>
      <c r="K3" s="172" t="s">
        <v>163</v>
      </c>
      <c r="L3" s="173">
        <v>4910</v>
      </c>
      <c r="M3" s="174"/>
      <c r="N3" s="174"/>
      <c r="O3" s="174"/>
      <c r="P3" s="174"/>
      <c r="Q3" s="175"/>
    </row>
    <row r="4" spans="1:17" x14ac:dyDescent="0.25">
      <c r="A4" s="177" t="s">
        <v>164</v>
      </c>
      <c r="B4" s="2"/>
      <c r="C4" s="173">
        <f>+C3/1.16</f>
        <v>4232.7586206896558</v>
      </c>
      <c r="D4" s="2"/>
      <c r="E4" s="2"/>
      <c r="F4" s="178"/>
      <c r="G4" s="2"/>
      <c r="H4" s="48"/>
      <c r="J4" s="177" t="s">
        <v>164</v>
      </c>
      <c r="K4" s="2"/>
      <c r="L4" s="173">
        <f>+L3/1.16</f>
        <v>4232.7586206896558</v>
      </c>
      <c r="M4" s="2"/>
      <c r="N4" s="2"/>
      <c r="O4" s="178"/>
      <c r="P4" s="2"/>
      <c r="Q4" s="48"/>
    </row>
    <row r="5" spans="1:17" x14ac:dyDescent="0.25">
      <c r="A5" s="177" t="s">
        <v>165</v>
      </c>
      <c r="B5" s="2"/>
      <c r="C5" s="173">
        <f>+C4*0.35</f>
        <v>1481.4655172413795</v>
      </c>
      <c r="D5" s="178">
        <f>+C11</f>
        <v>13.121551724137934</v>
      </c>
      <c r="E5" s="179">
        <f>2*(A3*(C10*100))</f>
        <v>85208294447.33107</v>
      </c>
      <c r="F5" s="174">
        <f>+E5/D5</f>
        <v>6493766609.2177925</v>
      </c>
      <c r="G5" s="174">
        <f>(SQRT(F5))*1.8</f>
        <v>145051.03865145415</v>
      </c>
      <c r="H5" s="180">
        <f>+A3/G5</f>
        <v>11.192209772488749</v>
      </c>
      <c r="J5" s="177" t="s">
        <v>165</v>
      </c>
      <c r="K5" s="2"/>
      <c r="L5" s="173">
        <f>+L4*0.35</f>
        <v>1481.4655172413795</v>
      </c>
      <c r="M5" s="178">
        <f>+L11</f>
        <v>13.121551724137934</v>
      </c>
      <c r="N5" s="179">
        <f>2*(J3*(L10*100))</f>
        <v>17751728009.860638</v>
      </c>
      <c r="O5" s="174">
        <f>+N5/M5</f>
        <v>1352868043.5870399</v>
      </c>
      <c r="P5" s="174">
        <f>SQRT(O5)</f>
        <v>36781.354564331094</v>
      </c>
      <c r="Q5" s="180">
        <f>+J3/P5</f>
        <v>9.195338641082774</v>
      </c>
    </row>
    <row r="6" spans="1:17" x14ac:dyDescent="0.25">
      <c r="A6" s="177" t="s">
        <v>166</v>
      </c>
      <c r="B6" s="2"/>
      <c r="C6" s="173">
        <f>+C4-C5</f>
        <v>2751.2931034482763</v>
      </c>
      <c r="D6" s="178"/>
      <c r="E6" s="179"/>
      <c r="F6" s="174"/>
      <c r="G6" s="174"/>
      <c r="H6" s="48"/>
      <c r="J6" s="177" t="s">
        <v>166</v>
      </c>
      <c r="K6" s="2"/>
      <c r="L6" s="173">
        <f>+L4-L5</f>
        <v>2751.2931034482763</v>
      </c>
      <c r="M6" s="178"/>
      <c r="N6" s="179"/>
      <c r="O6" s="174"/>
      <c r="P6" s="174"/>
      <c r="Q6" s="48"/>
    </row>
    <row r="7" spans="1:17" x14ac:dyDescent="0.25">
      <c r="A7" s="177" t="s">
        <v>167</v>
      </c>
      <c r="B7" s="2"/>
      <c r="C7" s="173">
        <f>+C6*30%</f>
        <v>825.3879310344829</v>
      </c>
      <c r="D7" s="2"/>
      <c r="E7" s="2"/>
      <c r="F7" s="178"/>
      <c r="G7" s="2"/>
      <c r="H7" s="48"/>
      <c r="J7" s="177" t="s">
        <v>167</v>
      </c>
      <c r="K7" s="2"/>
      <c r="L7" s="173">
        <f>+L6*30%</f>
        <v>825.3879310344829</v>
      </c>
      <c r="M7" s="2"/>
      <c r="N7" s="2"/>
      <c r="O7" s="178"/>
      <c r="P7" s="2"/>
      <c r="Q7" s="48"/>
    </row>
    <row r="8" spans="1:17" x14ac:dyDescent="0.25">
      <c r="A8" s="177" t="s">
        <v>168</v>
      </c>
      <c r="B8" s="2"/>
      <c r="C8" s="173">
        <f>+C5-C7</f>
        <v>656.07758620689663</v>
      </c>
      <c r="D8" s="2"/>
      <c r="E8" s="2"/>
      <c r="F8" s="178"/>
      <c r="G8" s="2"/>
      <c r="H8" s="48"/>
      <c r="J8" s="177" t="s">
        <v>168</v>
      </c>
      <c r="K8" s="2"/>
      <c r="L8" s="173">
        <f>+L5-L7</f>
        <v>656.07758620689663</v>
      </c>
      <c r="M8" s="2"/>
      <c r="N8" s="2"/>
      <c r="O8" s="178"/>
      <c r="P8" s="2"/>
      <c r="Q8" s="48"/>
    </row>
    <row r="9" spans="1:17" x14ac:dyDescent="0.25">
      <c r="A9" s="177" t="s">
        <v>169</v>
      </c>
      <c r="B9" s="2"/>
      <c r="C9" s="173">
        <f>+C8*0.6</f>
        <v>393.64655172413796</v>
      </c>
      <c r="D9" s="2"/>
      <c r="E9" s="2"/>
      <c r="F9" s="178"/>
      <c r="G9" s="2"/>
      <c r="H9" s="48"/>
      <c r="J9" s="177" t="s">
        <v>169</v>
      </c>
      <c r="K9" s="2"/>
      <c r="L9" s="173">
        <f>+L8*0.6</f>
        <v>393.64655172413796</v>
      </c>
      <c r="M9" s="2"/>
      <c r="N9" s="2"/>
      <c r="O9" s="178"/>
      <c r="P9" s="2"/>
      <c r="Q9" s="48"/>
    </row>
    <row r="10" spans="1:17" x14ac:dyDescent="0.25">
      <c r="A10" s="177" t="s">
        <v>170</v>
      </c>
      <c r="B10" s="2"/>
      <c r="C10" s="179">
        <f>+C8-C9</f>
        <v>262.43103448275866</v>
      </c>
      <c r="D10" s="2"/>
      <c r="E10" s="2"/>
      <c r="F10" s="2"/>
      <c r="G10" s="2"/>
      <c r="H10" s="48"/>
      <c r="J10" s="177" t="s">
        <v>170</v>
      </c>
      <c r="K10" s="2"/>
      <c r="L10" s="179">
        <f>+L8-L9</f>
        <v>262.43103448275866</v>
      </c>
      <c r="M10" s="2"/>
      <c r="N10" s="2"/>
      <c r="O10" s="2"/>
      <c r="P10" s="2"/>
      <c r="Q10" s="48"/>
    </row>
    <row r="11" spans="1:17" x14ac:dyDescent="0.25">
      <c r="A11" s="177" t="s">
        <v>171</v>
      </c>
      <c r="B11" s="2"/>
      <c r="C11" s="179">
        <f>+C10*0.05</f>
        <v>13.121551724137934</v>
      </c>
      <c r="D11" s="2"/>
      <c r="E11" s="2"/>
      <c r="F11" s="2"/>
      <c r="G11" s="2"/>
      <c r="H11" s="48"/>
      <c r="J11" s="177" t="s">
        <v>171</v>
      </c>
      <c r="K11" s="2"/>
      <c r="L11" s="179">
        <f>+L10*0.05</f>
        <v>13.121551724137934</v>
      </c>
      <c r="M11" s="2"/>
      <c r="N11" s="2"/>
      <c r="O11" s="2"/>
      <c r="P11" s="2"/>
      <c r="Q11" s="48"/>
    </row>
    <row r="12" spans="1:17" x14ac:dyDescent="0.25">
      <c r="A12" s="46"/>
      <c r="B12" s="2"/>
      <c r="C12" s="179"/>
      <c r="D12" s="2"/>
      <c r="E12" s="2"/>
      <c r="F12" s="2"/>
      <c r="G12" s="2"/>
      <c r="H12" s="48"/>
      <c r="J12" s="46"/>
      <c r="K12" s="2"/>
      <c r="L12" s="179"/>
      <c r="M12" s="2"/>
      <c r="N12" s="2"/>
      <c r="O12" s="2"/>
      <c r="P12" s="2"/>
      <c r="Q12" s="48"/>
    </row>
    <row r="13" spans="1:17" ht="15.75" thickBot="1" x14ac:dyDescent="0.3">
      <c r="A13" s="181" t="s">
        <v>172</v>
      </c>
      <c r="B13" s="76"/>
      <c r="C13" s="182">
        <f>+C10*100</f>
        <v>26243.103448275866</v>
      </c>
      <c r="D13" s="76"/>
      <c r="E13" s="76"/>
      <c r="F13" s="76"/>
      <c r="G13" s="76"/>
      <c r="H13" s="82"/>
      <c r="J13" s="181" t="s">
        <v>172</v>
      </c>
      <c r="K13" s="76"/>
      <c r="L13" s="182">
        <f>+L10*100</f>
        <v>26243.103448275866</v>
      </c>
      <c r="M13" s="76"/>
      <c r="N13" s="76"/>
      <c r="O13" s="76"/>
      <c r="P13" s="76"/>
      <c r="Q13" s="82"/>
    </row>
    <row r="14" spans="1:17" ht="15.75" thickBot="1" x14ac:dyDescent="0.3">
      <c r="A14" s="164" t="s">
        <v>55</v>
      </c>
      <c r="B14" s="74"/>
      <c r="C14" s="183"/>
      <c r="D14" s="74"/>
      <c r="E14" s="74"/>
      <c r="F14" s="74"/>
      <c r="G14" s="74"/>
      <c r="H14" s="75"/>
    </row>
    <row r="15" spans="1:17" ht="24" x14ac:dyDescent="0.25">
      <c r="A15" s="165" t="s">
        <v>156</v>
      </c>
      <c r="B15" s="166"/>
      <c r="C15" s="166" t="s">
        <v>157</v>
      </c>
      <c r="D15" s="166" t="s">
        <v>158</v>
      </c>
      <c r="E15" s="167" t="s">
        <v>159</v>
      </c>
      <c r="F15" s="167" t="s">
        <v>160</v>
      </c>
      <c r="G15" s="168" t="s">
        <v>161</v>
      </c>
      <c r="H15" s="169" t="s">
        <v>162</v>
      </c>
      <c r="J15" s="51" t="s">
        <v>56</v>
      </c>
      <c r="K15" s="74"/>
      <c r="L15" s="74"/>
      <c r="M15" s="74"/>
      <c r="N15" s="74"/>
      <c r="O15" s="74"/>
      <c r="P15" s="74"/>
      <c r="Q15" s="75"/>
    </row>
    <row r="16" spans="1:17" ht="36" x14ac:dyDescent="0.35">
      <c r="A16" s="171">
        <v>1129644.8163951784</v>
      </c>
      <c r="B16" s="172" t="s">
        <v>163</v>
      </c>
      <c r="C16" s="173">
        <v>4910</v>
      </c>
      <c r="D16" s="174"/>
      <c r="E16" s="174"/>
      <c r="F16" s="174"/>
      <c r="G16" s="174"/>
      <c r="H16" s="175"/>
      <c r="J16" s="165" t="s">
        <v>156</v>
      </c>
      <c r="K16" s="166"/>
      <c r="L16" s="166" t="s">
        <v>157</v>
      </c>
      <c r="M16" s="166" t="s">
        <v>158</v>
      </c>
      <c r="N16" s="167" t="s">
        <v>159</v>
      </c>
      <c r="O16" s="167" t="s">
        <v>160</v>
      </c>
      <c r="P16" s="168" t="s">
        <v>161</v>
      </c>
      <c r="Q16" s="169" t="s">
        <v>162</v>
      </c>
    </row>
    <row r="17" spans="1:17" ht="23.25" x14ac:dyDescent="0.35">
      <c r="A17" s="177" t="s">
        <v>164</v>
      </c>
      <c r="B17" s="2"/>
      <c r="C17" s="173">
        <f>+C16/1.16</f>
        <v>4232.7586206896558</v>
      </c>
      <c r="D17" s="2"/>
      <c r="E17" s="2"/>
      <c r="F17" s="178"/>
      <c r="G17" s="2"/>
      <c r="H17" s="48"/>
      <c r="J17" s="171">
        <v>633142.24439873465</v>
      </c>
      <c r="K17" s="172" t="s">
        <v>163</v>
      </c>
      <c r="L17" s="173">
        <v>4910</v>
      </c>
      <c r="M17" s="174"/>
      <c r="N17" s="174"/>
      <c r="O17" s="174"/>
      <c r="P17" s="174"/>
      <c r="Q17" s="175"/>
    </row>
    <row r="18" spans="1:17" x14ac:dyDescent="0.25">
      <c r="A18" s="177" t="s">
        <v>165</v>
      </c>
      <c r="B18" s="2"/>
      <c r="C18" s="173">
        <f>+C17*0.35</f>
        <v>1481.4655172413795</v>
      </c>
      <c r="D18" s="178">
        <f>+C24</f>
        <v>13.121551724137934</v>
      </c>
      <c r="E18" s="179">
        <f>2*(A16*(C23*100))</f>
        <v>59290771552.934532</v>
      </c>
      <c r="F18" s="174">
        <f>+E18/D18</f>
        <v>4518579265.5807133</v>
      </c>
      <c r="G18" s="174">
        <f>SQRT(F18)*1.5</f>
        <v>100830.56752570921</v>
      </c>
      <c r="H18" s="180">
        <f>+A16/G18</f>
        <v>11.20339639174547</v>
      </c>
      <c r="J18" s="177" t="s">
        <v>164</v>
      </c>
      <c r="K18" s="2"/>
      <c r="L18" s="173">
        <f>+L17/1.16</f>
        <v>4232.7586206896558</v>
      </c>
      <c r="M18" s="2"/>
      <c r="N18" s="2"/>
      <c r="O18" s="178"/>
      <c r="P18" s="2"/>
      <c r="Q18" s="48"/>
    </row>
    <row r="19" spans="1:17" x14ac:dyDescent="0.25">
      <c r="A19" s="177" t="s">
        <v>166</v>
      </c>
      <c r="B19" s="2"/>
      <c r="C19" s="173">
        <f>+C17-C18</f>
        <v>2751.2931034482763</v>
      </c>
      <c r="D19" s="178"/>
      <c r="E19" s="179"/>
      <c r="F19" s="174"/>
      <c r="G19" s="174"/>
      <c r="H19" s="48"/>
      <c r="J19" s="177" t="s">
        <v>165</v>
      </c>
      <c r="K19" s="2"/>
      <c r="L19" s="173">
        <f>+L18*0.35</f>
        <v>1481.4655172413795</v>
      </c>
      <c r="M19" s="178">
        <f>+L25</f>
        <v>13.121551724137934</v>
      </c>
      <c r="N19" s="179">
        <f>2*(J17*(L24*100))</f>
        <v>33231234834.45911</v>
      </c>
      <c r="O19" s="174">
        <f>+N19/M19</f>
        <v>2532568977.5949388</v>
      </c>
      <c r="P19" s="174">
        <f>SQRT(O19)*1.5</f>
        <v>75486.953836994988</v>
      </c>
      <c r="Q19" s="180">
        <f>+J17/P19</f>
        <v>8.3874393152216644</v>
      </c>
    </row>
    <row r="20" spans="1:17" x14ac:dyDescent="0.25">
      <c r="A20" s="177" t="s">
        <v>167</v>
      </c>
      <c r="B20" s="2"/>
      <c r="C20" s="173">
        <f>+C19*30%</f>
        <v>825.3879310344829</v>
      </c>
      <c r="D20" s="2"/>
      <c r="E20" s="2"/>
      <c r="F20" s="178"/>
      <c r="G20" s="2"/>
      <c r="H20" s="48"/>
      <c r="J20" s="177" t="s">
        <v>166</v>
      </c>
      <c r="K20" s="2"/>
      <c r="L20" s="173">
        <f>+L18-L19</f>
        <v>2751.2931034482763</v>
      </c>
      <c r="M20" s="178"/>
      <c r="N20" s="179"/>
      <c r="O20" s="174"/>
      <c r="P20" s="174"/>
      <c r="Q20" s="48"/>
    </row>
    <row r="21" spans="1:17" x14ac:dyDescent="0.25">
      <c r="A21" s="177" t="s">
        <v>168</v>
      </c>
      <c r="B21" s="2"/>
      <c r="C21" s="173">
        <f>+C18-C20</f>
        <v>656.07758620689663</v>
      </c>
      <c r="D21" s="2"/>
      <c r="E21" s="2"/>
      <c r="F21" s="178"/>
      <c r="G21" s="2"/>
      <c r="H21" s="48"/>
      <c r="J21" s="177" t="s">
        <v>167</v>
      </c>
      <c r="K21" s="2"/>
      <c r="L21" s="173">
        <f>+L20*30%</f>
        <v>825.3879310344829</v>
      </c>
      <c r="M21" s="2"/>
      <c r="N21" s="2"/>
      <c r="O21" s="178"/>
      <c r="P21" s="2"/>
      <c r="Q21" s="48"/>
    </row>
    <row r="22" spans="1:17" x14ac:dyDescent="0.25">
      <c r="A22" s="177" t="s">
        <v>169</v>
      </c>
      <c r="B22" s="2"/>
      <c r="C22" s="173">
        <f>+C21*0.6</f>
        <v>393.64655172413796</v>
      </c>
      <c r="D22" s="2"/>
      <c r="E22" s="2"/>
      <c r="F22" s="178"/>
      <c r="G22" s="2"/>
      <c r="H22" s="48"/>
      <c r="J22" s="177" t="s">
        <v>168</v>
      </c>
      <c r="K22" s="2"/>
      <c r="L22" s="173">
        <f>+L19-L21</f>
        <v>656.07758620689663</v>
      </c>
      <c r="M22" s="2"/>
      <c r="N22" s="2"/>
      <c r="O22" s="178"/>
      <c r="P22" s="2"/>
      <c r="Q22" s="48"/>
    </row>
    <row r="23" spans="1:17" x14ac:dyDescent="0.25">
      <c r="A23" s="177" t="s">
        <v>170</v>
      </c>
      <c r="B23" s="2"/>
      <c r="C23" s="179">
        <f>+C21-C22</f>
        <v>262.43103448275866</v>
      </c>
      <c r="D23" s="2"/>
      <c r="E23" s="2"/>
      <c r="F23" s="2"/>
      <c r="G23" s="2"/>
      <c r="H23" s="48"/>
      <c r="J23" s="177" t="s">
        <v>169</v>
      </c>
      <c r="K23" s="2"/>
      <c r="L23" s="173">
        <f>+L22*0.6</f>
        <v>393.64655172413796</v>
      </c>
      <c r="M23" s="2"/>
      <c r="N23" s="2"/>
      <c r="O23" s="178"/>
      <c r="P23" s="2"/>
      <c r="Q23" s="48"/>
    </row>
    <row r="24" spans="1:17" x14ac:dyDescent="0.25">
      <c r="A24" s="177" t="s">
        <v>171</v>
      </c>
      <c r="B24" s="2"/>
      <c r="C24" s="179">
        <f>+C23*0.05</f>
        <v>13.121551724137934</v>
      </c>
      <c r="D24" s="2"/>
      <c r="E24" s="2"/>
      <c r="F24" s="2"/>
      <c r="G24" s="2"/>
      <c r="H24" s="48"/>
      <c r="J24" s="177" t="s">
        <v>170</v>
      </c>
      <c r="K24" s="2"/>
      <c r="L24" s="179">
        <f>+L22-L23</f>
        <v>262.43103448275866</v>
      </c>
      <c r="M24" s="2"/>
      <c r="N24" s="2"/>
      <c r="O24" s="2"/>
      <c r="P24" s="2"/>
      <c r="Q24" s="48"/>
    </row>
    <row r="25" spans="1:17" x14ac:dyDescent="0.25">
      <c r="A25" s="46"/>
      <c r="B25" s="2"/>
      <c r="C25" s="179"/>
      <c r="D25" s="2"/>
      <c r="E25" s="2"/>
      <c r="F25" s="2"/>
      <c r="G25" s="2"/>
      <c r="H25" s="48"/>
      <c r="J25" s="177" t="s">
        <v>171</v>
      </c>
      <c r="K25" s="2"/>
      <c r="L25" s="179">
        <f>+L24*0.05</f>
        <v>13.121551724137934</v>
      </c>
      <c r="M25" s="2"/>
      <c r="N25" s="2"/>
      <c r="O25" s="2"/>
      <c r="P25" s="2"/>
      <c r="Q25" s="48"/>
    </row>
    <row r="26" spans="1:17" ht="15.75" thickBot="1" x14ac:dyDescent="0.3">
      <c r="A26" s="181" t="s">
        <v>172</v>
      </c>
      <c r="B26" s="76"/>
      <c r="C26" s="182">
        <f>+C23*100</f>
        <v>26243.103448275866</v>
      </c>
      <c r="D26" s="76"/>
      <c r="E26" s="76"/>
      <c r="F26" s="76"/>
      <c r="G26" s="76"/>
      <c r="H26" s="82"/>
      <c r="J26" s="46"/>
      <c r="K26" s="2"/>
      <c r="L26" s="179"/>
      <c r="M26" s="2"/>
      <c r="N26" s="2"/>
      <c r="O26" s="2"/>
      <c r="P26" s="2"/>
      <c r="Q26" s="48"/>
    </row>
    <row r="27" spans="1:17" ht="15.75" thickBot="1" x14ac:dyDescent="0.3">
      <c r="J27" s="181" t="s">
        <v>172</v>
      </c>
      <c r="K27" s="76"/>
      <c r="L27" s="182">
        <f>+L24*100</f>
        <v>26243.103448275866</v>
      </c>
      <c r="M27" s="76"/>
      <c r="N27" s="76"/>
      <c r="O27" s="76"/>
      <c r="P27" s="76"/>
      <c r="Q27" s="82"/>
    </row>
    <row r="28" spans="1:17" ht="15.75" thickBot="1" x14ac:dyDescent="0.3">
      <c r="A28" s="51" t="s">
        <v>6</v>
      </c>
      <c r="B28" s="74"/>
      <c r="C28" s="183"/>
      <c r="D28" s="74"/>
      <c r="E28" s="74"/>
      <c r="F28" s="74"/>
      <c r="G28" s="74"/>
      <c r="H28" s="75"/>
    </row>
    <row r="29" spans="1:17" ht="24" x14ac:dyDescent="0.25">
      <c r="A29" s="165" t="s">
        <v>156</v>
      </c>
      <c r="B29" s="166"/>
      <c r="C29" s="166" t="s">
        <v>157</v>
      </c>
      <c r="D29" s="166" t="s">
        <v>158</v>
      </c>
      <c r="E29" s="167" t="s">
        <v>159</v>
      </c>
      <c r="F29" s="167" t="s">
        <v>160</v>
      </c>
      <c r="G29" s="168" t="s">
        <v>161</v>
      </c>
      <c r="H29" s="169" t="s">
        <v>162</v>
      </c>
      <c r="J29" s="51" t="s">
        <v>7</v>
      </c>
      <c r="K29" s="74"/>
      <c r="L29" s="183"/>
      <c r="M29" s="74"/>
      <c r="N29" s="74"/>
      <c r="O29" s="74"/>
      <c r="P29" s="74"/>
      <c r="Q29" s="75"/>
    </row>
    <row r="30" spans="1:17" ht="36" x14ac:dyDescent="0.35">
      <c r="A30" s="171">
        <v>469174.63751598547</v>
      </c>
      <c r="B30" s="172" t="s">
        <v>163</v>
      </c>
      <c r="C30" s="173">
        <v>4910</v>
      </c>
      <c r="D30" s="174"/>
      <c r="E30" s="174"/>
      <c r="F30" s="174"/>
      <c r="G30" s="174"/>
      <c r="H30" s="175"/>
      <c r="J30" s="165" t="s">
        <v>156</v>
      </c>
      <c r="K30" s="166"/>
      <c r="L30" s="166" t="s">
        <v>157</v>
      </c>
      <c r="M30" s="166" t="s">
        <v>158</v>
      </c>
      <c r="N30" s="167" t="s">
        <v>159</v>
      </c>
      <c r="O30" s="167" t="s">
        <v>160</v>
      </c>
      <c r="P30" s="168" t="s">
        <v>161</v>
      </c>
      <c r="Q30" s="169" t="s">
        <v>162</v>
      </c>
    </row>
    <row r="31" spans="1:17" ht="23.25" x14ac:dyDescent="0.35">
      <c r="A31" s="177" t="s">
        <v>164</v>
      </c>
      <c r="B31" s="2"/>
      <c r="C31" s="173">
        <f>+C30/1.16</f>
        <v>4232.7586206896558</v>
      </c>
      <c r="D31" s="2"/>
      <c r="E31" s="2"/>
      <c r="F31" s="178"/>
      <c r="G31" s="2"/>
      <c r="H31" s="48"/>
      <c r="J31" s="171">
        <v>524763.98542697681</v>
      </c>
      <c r="K31" s="172" t="s">
        <v>163</v>
      </c>
      <c r="L31" s="173">
        <v>4910</v>
      </c>
      <c r="M31" s="174"/>
      <c r="N31" s="174"/>
      <c r="O31" s="174"/>
      <c r="P31" s="174"/>
      <c r="Q31" s="175"/>
    </row>
    <row r="32" spans="1:17" x14ac:dyDescent="0.25">
      <c r="A32" s="177" t="s">
        <v>165</v>
      </c>
      <c r="B32" s="2"/>
      <c r="C32" s="173">
        <f>+C31*0.35</f>
        <v>1481.4655172413795</v>
      </c>
      <c r="D32" s="178">
        <f>+C38</f>
        <v>13.121551724137934</v>
      </c>
      <c r="E32" s="179">
        <f>2*(A30*(C37*100))</f>
        <v>24625197095.278675</v>
      </c>
      <c r="F32" s="174">
        <f>+E32/D32</f>
        <v>1876698550.0639417</v>
      </c>
      <c r="G32" s="174">
        <f>SQRT(F32)</f>
        <v>43320.878916106281</v>
      </c>
      <c r="H32" s="180">
        <f>+A30/G32</f>
        <v>10.83021972902657</v>
      </c>
      <c r="J32" s="177" t="s">
        <v>164</v>
      </c>
      <c r="K32" s="2"/>
      <c r="L32" s="173">
        <f>+L31/1.16</f>
        <v>4232.7586206896558</v>
      </c>
      <c r="M32" s="2"/>
      <c r="N32" s="2"/>
      <c r="O32" s="178"/>
      <c r="P32" s="2"/>
      <c r="Q32" s="48"/>
    </row>
    <row r="33" spans="1:17" x14ac:dyDescent="0.25">
      <c r="A33" s="177" t="s">
        <v>166</v>
      </c>
      <c r="B33" s="2"/>
      <c r="C33" s="173">
        <f>+C31-C32</f>
        <v>2751.2931034482763</v>
      </c>
      <c r="D33" s="178"/>
      <c r="E33" s="179"/>
      <c r="F33" s="174"/>
      <c r="G33" s="174"/>
      <c r="H33" s="48"/>
      <c r="J33" s="177" t="s">
        <v>165</v>
      </c>
      <c r="K33" s="2"/>
      <c r="L33" s="173">
        <f>+L32*0.35</f>
        <v>1481.4655172413795</v>
      </c>
      <c r="M33" s="178">
        <f>+L39</f>
        <v>13.121551724137934</v>
      </c>
      <c r="N33" s="179">
        <f>2*(J31*(L38*100))</f>
        <v>27542871110.979362</v>
      </c>
      <c r="O33" s="174">
        <f>+N33/M33</f>
        <v>2099055941.7079072</v>
      </c>
      <c r="P33" s="174">
        <f>SQRT(O33)</f>
        <v>45815.455271206323</v>
      </c>
      <c r="Q33" s="180">
        <f>+J31/P33</f>
        <v>11.453863817801581</v>
      </c>
    </row>
    <row r="34" spans="1:17" x14ac:dyDescent="0.25">
      <c r="A34" s="177" t="s">
        <v>167</v>
      </c>
      <c r="B34" s="2"/>
      <c r="C34" s="173">
        <f>+C33*30%</f>
        <v>825.3879310344829</v>
      </c>
      <c r="D34" s="2"/>
      <c r="E34" s="2"/>
      <c r="F34" s="178"/>
      <c r="G34" s="2"/>
      <c r="H34" s="48"/>
      <c r="J34" s="177" t="s">
        <v>166</v>
      </c>
      <c r="K34" s="2"/>
      <c r="L34" s="173">
        <f>+L32-L33</f>
        <v>2751.2931034482763</v>
      </c>
      <c r="M34" s="178"/>
      <c r="N34" s="179"/>
      <c r="O34" s="174"/>
      <c r="P34" s="174"/>
      <c r="Q34" s="48"/>
    </row>
    <row r="35" spans="1:17" x14ac:dyDescent="0.25">
      <c r="A35" s="177" t="s">
        <v>168</v>
      </c>
      <c r="B35" s="2"/>
      <c r="C35" s="173">
        <f>+C32-C34</f>
        <v>656.07758620689663</v>
      </c>
      <c r="D35" s="2"/>
      <c r="E35" s="2"/>
      <c r="F35" s="178"/>
      <c r="G35" s="2"/>
      <c r="H35" s="48"/>
      <c r="J35" s="177" t="s">
        <v>167</v>
      </c>
      <c r="K35" s="2"/>
      <c r="L35" s="173">
        <f>+L34*30%</f>
        <v>825.3879310344829</v>
      </c>
      <c r="M35" s="2"/>
      <c r="N35" s="2"/>
      <c r="O35" s="178"/>
      <c r="P35" s="2"/>
      <c r="Q35" s="48"/>
    </row>
    <row r="36" spans="1:17" x14ac:dyDescent="0.25">
      <c r="A36" s="177" t="s">
        <v>169</v>
      </c>
      <c r="B36" s="2"/>
      <c r="C36" s="173">
        <f>+C35*0.6</f>
        <v>393.64655172413796</v>
      </c>
      <c r="D36" s="2"/>
      <c r="E36" s="2"/>
      <c r="F36" s="178"/>
      <c r="G36" s="2"/>
      <c r="H36" s="48"/>
      <c r="J36" s="177" t="s">
        <v>168</v>
      </c>
      <c r="K36" s="2"/>
      <c r="L36" s="173">
        <f>+L33-L35</f>
        <v>656.07758620689663</v>
      </c>
      <c r="M36" s="2"/>
      <c r="N36" s="2"/>
      <c r="O36" s="178"/>
      <c r="P36" s="2"/>
      <c r="Q36" s="48"/>
    </row>
    <row r="37" spans="1:17" x14ac:dyDescent="0.25">
      <c r="A37" s="177" t="s">
        <v>170</v>
      </c>
      <c r="B37" s="2"/>
      <c r="C37" s="179">
        <f>+C35-C36</f>
        <v>262.43103448275866</v>
      </c>
      <c r="D37" s="2"/>
      <c r="E37" s="2"/>
      <c r="F37" s="2"/>
      <c r="G37" s="2"/>
      <c r="H37" s="48"/>
      <c r="J37" s="177" t="s">
        <v>169</v>
      </c>
      <c r="K37" s="2"/>
      <c r="L37" s="173">
        <f>+L36*0.6</f>
        <v>393.64655172413796</v>
      </c>
      <c r="M37" s="2"/>
      <c r="N37" s="2"/>
      <c r="O37" s="178"/>
      <c r="P37" s="2"/>
      <c r="Q37" s="48"/>
    </row>
    <row r="38" spans="1:17" x14ac:dyDescent="0.25">
      <c r="A38" s="177" t="s">
        <v>171</v>
      </c>
      <c r="B38" s="2"/>
      <c r="C38" s="179">
        <f>+C37*0.05</f>
        <v>13.121551724137934</v>
      </c>
      <c r="D38" s="2"/>
      <c r="E38" s="2"/>
      <c r="F38" s="2"/>
      <c r="G38" s="2"/>
      <c r="H38" s="48"/>
      <c r="J38" s="177" t="s">
        <v>170</v>
      </c>
      <c r="K38" s="2"/>
      <c r="L38" s="179">
        <f>+L36-L37</f>
        <v>262.43103448275866</v>
      </c>
      <c r="M38" s="2"/>
      <c r="N38" s="2"/>
      <c r="O38" s="2"/>
      <c r="P38" s="2"/>
      <c r="Q38" s="48"/>
    </row>
    <row r="39" spans="1:17" x14ac:dyDescent="0.25">
      <c r="A39" s="46"/>
      <c r="B39" s="2"/>
      <c r="C39" s="179"/>
      <c r="D39" s="2"/>
      <c r="E39" s="2"/>
      <c r="F39" s="2"/>
      <c r="G39" s="2"/>
      <c r="H39" s="48"/>
      <c r="J39" s="177" t="s">
        <v>171</v>
      </c>
      <c r="K39" s="2"/>
      <c r="L39" s="179">
        <f>+L38*0.05</f>
        <v>13.121551724137934</v>
      </c>
      <c r="M39" s="2"/>
      <c r="N39" s="2"/>
      <c r="O39" s="2"/>
      <c r="P39" s="2"/>
      <c r="Q39" s="48"/>
    </row>
    <row r="40" spans="1:17" ht="15.75" thickBot="1" x14ac:dyDescent="0.3">
      <c r="A40" s="181" t="s">
        <v>172</v>
      </c>
      <c r="B40" s="76"/>
      <c r="C40" s="182">
        <f>+C37*100</f>
        <v>26243.103448275866</v>
      </c>
      <c r="D40" s="76"/>
      <c r="E40" s="76"/>
      <c r="F40" s="76"/>
      <c r="G40" s="76"/>
      <c r="H40" s="82"/>
      <c r="J40" s="46"/>
      <c r="K40" s="2"/>
      <c r="L40" s="179"/>
      <c r="M40" s="2"/>
      <c r="N40" s="2"/>
      <c r="O40" s="2"/>
      <c r="P40" s="2"/>
      <c r="Q40" s="48"/>
    </row>
    <row r="41" spans="1:17" ht="15.75" thickBot="1" x14ac:dyDescent="0.3">
      <c r="J41" s="181" t="s">
        <v>172</v>
      </c>
      <c r="K41" s="76"/>
      <c r="L41" s="182">
        <f>+L38*100</f>
        <v>26243.103448275866</v>
      </c>
      <c r="M41" s="76"/>
      <c r="N41" s="76"/>
      <c r="O41" s="76"/>
      <c r="P41" s="76"/>
      <c r="Q41" s="82"/>
    </row>
    <row r="43" spans="1:17" ht="15.75" thickBot="1" x14ac:dyDescent="0.3">
      <c r="A43" s="4" t="s">
        <v>173</v>
      </c>
    </row>
    <row r="44" spans="1:17" x14ac:dyDescent="0.25">
      <c r="A44" s="81" t="s">
        <v>155</v>
      </c>
      <c r="B44" s="74"/>
      <c r="C44" s="75"/>
      <c r="E44" s="164" t="s">
        <v>48</v>
      </c>
      <c r="F44" s="74"/>
      <c r="G44" s="75"/>
      <c r="J44" s="164" t="s">
        <v>55</v>
      </c>
      <c r="K44" s="74"/>
      <c r="L44" s="75"/>
    </row>
    <row r="45" spans="1:17" x14ac:dyDescent="0.25">
      <c r="A45" s="46" t="s">
        <v>174</v>
      </c>
      <c r="B45" s="2"/>
      <c r="C45" s="184">
        <f>+A3</f>
        <v>1623441.6523044482</v>
      </c>
      <c r="E45" s="46" t="s">
        <v>174</v>
      </c>
      <c r="F45" s="2"/>
      <c r="G45" s="185">
        <v>338217.01089675998</v>
      </c>
      <c r="J45" s="46" t="s">
        <v>174</v>
      </c>
      <c r="K45" s="2"/>
      <c r="L45" s="171">
        <v>1129644.8163951784</v>
      </c>
    </row>
    <row r="46" spans="1:17" x14ac:dyDescent="0.25">
      <c r="A46" s="46" t="s">
        <v>175</v>
      </c>
      <c r="B46" s="2"/>
      <c r="C46" s="184">
        <f>+C45/12</f>
        <v>135286.80435870402</v>
      </c>
      <c r="E46" s="46" t="s">
        <v>175</v>
      </c>
      <c r="F46" s="2"/>
      <c r="G46" s="184">
        <f>+G45/12</f>
        <v>28184.750908063332</v>
      </c>
      <c r="J46" s="46" t="s">
        <v>175</v>
      </c>
      <c r="K46" s="2"/>
      <c r="L46" s="184">
        <f>+L45/12</f>
        <v>94137.068032931536</v>
      </c>
    </row>
    <row r="47" spans="1:17" x14ac:dyDescent="0.25">
      <c r="A47" s="46" t="s">
        <v>176</v>
      </c>
      <c r="B47" s="2"/>
      <c r="C47" s="184">
        <f>+C46/30</f>
        <v>4509.5601452901337</v>
      </c>
      <c r="E47" s="46" t="s">
        <v>176</v>
      </c>
      <c r="F47" s="2"/>
      <c r="G47" s="184">
        <f>+G46/30</f>
        <v>939.49169693544434</v>
      </c>
      <c r="J47" s="46" t="s">
        <v>176</v>
      </c>
      <c r="K47" s="2"/>
      <c r="L47" s="184">
        <f>+L46/30</f>
        <v>3137.9022677643848</v>
      </c>
    </row>
    <row r="48" spans="1:17" ht="15.75" thickBot="1" x14ac:dyDescent="0.3">
      <c r="A48" s="49" t="s">
        <v>177</v>
      </c>
      <c r="B48" s="76"/>
      <c r="C48" s="186">
        <f>+C47*10</f>
        <v>45095.601452901334</v>
      </c>
      <c r="E48" s="49" t="s">
        <v>177</v>
      </c>
      <c r="F48" s="76"/>
      <c r="G48" s="186">
        <f>+G47*15</f>
        <v>14092.375454031666</v>
      </c>
      <c r="J48" s="49" t="s">
        <v>177</v>
      </c>
      <c r="K48" s="76"/>
      <c r="L48" s="186">
        <f>+L47*10</f>
        <v>31379.022677643847</v>
      </c>
    </row>
    <row r="49" spans="1:12" ht="15.75" thickBot="1" x14ac:dyDescent="0.3">
      <c r="A49" s="2"/>
      <c r="B49" s="2"/>
      <c r="C49" s="50"/>
      <c r="E49" s="2"/>
      <c r="F49" s="2"/>
      <c r="G49" s="50"/>
      <c r="J49" s="2"/>
      <c r="K49" s="2"/>
      <c r="L49" s="50"/>
    </row>
    <row r="50" spans="1:12" x14ac:dyDescent="0.25">
      <c r="A50" s="187" t="s">
        <v>56</v>
      </c>
      <c r="B50" s="74"/>
      <c r="C50" s="188"/>
      <c r="E50" s="187" t="s">
        <v>6</v>
      </c>
      <c r="F50" s="74"/>
      <c r="G50" s="75"/>
      <c r="J50" s="187" t="s">
        <v>7</v>
      </c>
      <c r="K50" s="74"/>
      <c r="L50" s="75"/>
    </row>
    <row r="51" spans="1:12" x14ac:dyDescent="0.25">
      <c r="A51" s="46" t="s">
        <v>174</v>
      </c>
      <c r="B51" s="2"/>
      <c r="C51" s="185">
        <v>633142.24439873465</v>
      </c>
      <c r="E51" s="46" t="s">
        <v>174</v>
      </c>
      <c r="F51" s="2"/>
      <c r="G51" s="171">
        <v>469174.63751598547</v>
      </c>
      <c r="J51" s="46" t="s">
        <v>174</v>
      </c>
      <c r="K51" s="2"/>
      <c r="L51" s="185">
        <v>524763.98542697681</v>
      </c>
    </row>
    <row r="52" spans="1:12" x14ac:dyDescent="0.25">
      <c r="A52" s="46" t="s">
        <v>175</v>
      </c>
      <c r="B52" s="2"/>
      <c r="C52" s="184">
        <f>+C51/12</f>
        <v>52761.853699894556</v>
      </c>
      <c r="E52" s="46" t="s">
        <v>175</v>
      </c>
      <c r="F52" s="2"/>
      <c r="G52" s="184">
        <f>+G51/12</f>
        <v>39097.886459665453</v>
      </c>
      <c r="J52" s="46" t="s">
        <v>175</v>
      </c>
      <c r="K52" s="2"/>
      <c r="L52" s="184">
        <f>+L51/12</f>
        <v>43730.332118914732</v>
      </c>
    </row>
    <row r="53" spans="1:12" x14ac:dyDescent="0.25">
      <c r="A53" s="46" t="s">
        <v>176</v>
      </c>
      <c r="B53" s="2"/>
      <c r="C53" s="184">
        <f>+C52/30</f>
        <v>1758.728456663152</v>
      </c>
      <c r="E53" s="46" t="s">
        <v>176</v>
      </c>
      <c r="F53" s="2"/>
      <c r="G53" s="184">
        <f>+G52/30</f>
        <v>1303.2628819888484</v>
      </c>
      <c r="J53" s="46" t="s">
        <v>176</v>
      </c>
      <c r="K53" s="2"/>
      <c r="L53" s="184">
        <f>+L52/30</f>
        <v>1457.6777372971578</v>
      </c>
    </row>
    <row r="54" spans="1:12" ht="15.75" thickBot="1" x14ac:dyDescent="0.3">
      <c r="A54" s="49" t="s">
        <v>177</v>
      </c>
      <c r="B54" s="76"/>
      <c r="C54" s="186">
        <f>+C53*15</f>
        <v>26380.926849947278</v>
      </c>
      <c r="E54" s="49" t="s">
        <v>177</v>
      </c>
      <c r="F54" s="76"/>
      <c r="G54" s="186">
        <f>+G53*10</f>
        <v>13032.628819888485</v>
      </c>
      <c r="J54" s="49" t="s">
        <v>177</v>
      </c>
      <c r="K54" s="76"/>
      <c r="L54" s="186">
        <f>+L53*10</f>
        <v>14576.777372971577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workbookViewId="0">
      <selection activeCell="D11" sqref="D11"/>
    </sheetView>
  </sheetViews>
  <sheetFormatPr baseColWidth="10" defaultRowHeight="15" x14ac:dyDescent="0.25"/>
  <cols>
    <col min="1" max="1" width="19.5703125" customWidth="1"/>
    <col min="2" max="2" width="12.5703125" bestFit="1" customWidth="1"/>
    <col min="3" max="3" width="11.85546875" customWidth="1"/>
    <col min="4" max="6" width="16.85546875" bestFit="1" customWidth="1"/>
  </cols>
  <sheetData>
    <row r="1" spans="1:14" ht="27" thickBot="1" x14ac:dyDescent="0.45">
      <c r="A1" s="245" t="s">
        <v>178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14" s="4" customFormat="1" x14ac:dyDescent="0.25">
      <c r="A2" s="205"/>
      <c r="B2" s="206"/>
      <c r="C2" s="206"/>
      <c r="D2" s="206"/>
      <c r="E2" s="206"/>
      <c r="F2" s="206"/>
      <c r="G2" s="74"/>
      <c r="H2" s="74"/>
      <c r="I2" s="74"/>
      <c r="J2" s="74"/>
      <c r="K2" s="74"/>
      <c r="L2" s="74"/>
      <c r="M2" s="75"/>
    </row>
    <row r="3" spans="1:14" s="4" customFormat="1" x14ac:dyDescent="0.25">
      <c r="A3" s="46" t="s">
        <v>180</v>
      </c>
      <c r="B3" s="189">
        <v>100001</v>
      </c>
      <c r="C3" s="246" t="s">
        <v>49</v>
      </c>
      <c r="D3" s="247"/>
      <c r="E3" s="247"/>
      <c r="F3" s="247"/>
      <c r="G3" s="2"/>
      <c r="H3" s="2"/>
      <c r="I3" s="2"/>
      <c r="J3" s="2"/>
      <c r="K3" s="2"/>
      <c r="L3" s="2"/>
      <c r="M3" s="48"/>
    </row>
    <row r="4" spans="1:14" s="4" customFormat="1" x14ac:dyDescent="0.25">
      <c r="A4" s="240" t="s">
        <v>186</v>
      </c>
      <c r="B4" s="241"/>
      <c r="C4" s="207">
        <f>+D11</f>
        <v>0</v>
      </c>
      <c r="D4" s="208"/>
      <c r="E4" s="208"/>
      <c r="F4" s="208"/>
      <c r="G4" s="2"/>
      <c r="H4" s="2"/>
      <c r="I4" s="2"/>
      <c r="J4" s="2"/>
      <c r="K4" s="2"/>
      <c r="L4" s="2"/>
      <c r="M4" s="48"/>
    </row>
    <row r="5" spans="1:14" s="4" customFormat="1" x14ac:dyDescent="0.25">
      <c r="A5" s="240" t="s">
        <v>187</v>
      </c>
      <c r="B5" s="241"/>
      <c r="C5" s="241"/>
      <c r="D5" s="14">
        <v>0</v>
      </c>
      <c r="E5" s="208"/>
      <c r="F5" s="208"/>
      <c r="G5" s="2"/>
      <c r="H5" s="2"/>
      <c r="I5" s="2"/>
      <c r="J5" s="2"/>
      <c r="K5" s="2"/>
      <c r="L5" s="2"/>
      <c r="M5" s="48"/>
    </row>
    <row r="6" spans="1:14" ht="18.75" x14ac:dyDescent="0.3">
      <c r="A6" s="46"/>
      <c r="B6" s="242" t="s">
        <v>185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09"/>
    </row>
    <row r="7" spans="1:14" s="131" customFormat="1" ht="15.75" thickBot="1" x14ac:dyDescent="0.3">
      <c r="A7" s="210" t="s">
        <v>179</v>
      </c>
      <c r="B7" s="192">
        <v>1</v>
      </c>
      <c r="C7" s="192">
        <v>2</v>
      </c>
      <c r="D7" s="192">
        <v>3</v>
      </c>
      <c r="E7" s="192">
        <v>4</v>
      </c>
      <c r="F7" s="192">
        <v>5</v>
      </c>
      <c r="G7" s="192">
        <v>6</v>
      </c>
      <c r="H7" s="192">
        <v>7</v>
      </c>
      <c r="I7" s="192">
        <v>8</v>
      </c>
      <c r="J7" s="192">
        <v>9</v>
      </c>
      <c r="K7" s="192">
        <v>10</v>
      </c>
      <c r="L7" s="192">
        <v>11</v>
      </c>
      <c r="M7" s="213">
        <v>12</v>
      </c>
      <c r="N7" s="131" t="s">
        <v>145</v>
      </c>
    </row>
    <row r="8" spans="1:14" s="13" customFormat="1" x14ac:dyDescent="0.25">
      <c r="A8" s="193" t="s">
        <v>188</v>
      </c>
      <c r="B8" s="194">
        <v>0</v>
      </c>
      <c r="C8" s="194">
        <f>+B12</f>
        <v>250731.34162090428</v>
      </c>
      <c r="D8" s="194">
        <f>+C12</f>
        <v>211360.60593890026</v>
      </c>
      <c r="E8" s="194">
        <f t="shared" ref="E8:M8" si="0">+D12</f>
        <v>171989.87025689625</v>
      </c>
      <c r="F8" s="194">
        <f t="shared" si="0"/>
        <v>132619.13457489223</v>
      </c>
      <c r="G8" s="194">
        <f t="shared" si="0"/>
        <v>91144.261013292096</v>
      </c>
      <c r="H8" s="194">
        <f t="shared" si="0"/>
        <v>49669.387451691968</v>
      </c>
      <c r="I8" s="194">
        <f t="shared" si="0"/>
        <v>153245.552541546</v>
      </c>
      <c r="J8" s="194">
        <f t="shared" si="0"/>
        <v>111770.67897994586</v>
      </c>
      <c r="K8" s="194">
        <f t="shared" si="0"/>
        <v>69341.281719603459</v>
      </c>
      <c r="L8" s="194">
        <f t="shared" si="0"/>
        <v>171962.9231107152</v>
      </c>
      <c r="M8" s="214">
        <f t="shared" si="0"/>
        <v>129533.5258503728</v>
      </c>
    </row>
    <row r="9" spans="1:14" x14ac:dyDescent="0.25">
      <c r="A9" s="196" t="s">
        <v>181</v>
      </c>
      <c r="B9" s="146">
        <v>39370.735682004</v>
      </c>
      <c r="C9" s="146">
        <v>39370.735682004</v>
      </c>
      <c r="D9" s="191">
        <v>39370.735682004</v>
      </c>
      <c r="E9" s="191">
        <v>39370.735682004</v>
      </c>
      <c r="F9" s="191">
        <v>41474.873561600129</v>
      </c>
      <c r="G9" s="146">
        <v>41474.873561600129</v>
      </c>
      <c r="H9" s="146">
        <v>41474.873561600129</v>
      </c>
      <c r="I9" s="146">
        <v>41474.873561600129</v>
      </c>
      <c r="J9" s="146">
        <v>42429.397260342397</v>
      </c>
      <c r="K9" s="146">
        <v>42429.397260342397</v>
      </c>
      <c r="L9" s="146">
        <v>42429.397260342397</v>
      </c>
      <c r="M9" s="215">
        <v>42429.397260342397</v>
      </c>
    </row>
    <row r="10" spans="1:14" x14ac:dyDescent="0.25">
      <c r="A10" s="196" t="s">
        <v>182</v>
      </c>
      <c r="B10" s="146">
        <f>+B8-B9</f>
        <v>-39370.735682004</v>
      </c>
      <c r="C10" s="146">
        <f>+C8-C9</f>
        <v>211360.60593890026</v>
      </c>
      <c r="D10" s="191">
        <f>+D8-D9</f>
        <v>171989.87025689625</v>
      </c>
      <c r="E10" s="191">
        <f>+E8-E9</f>
        <v>132619.13457489223</v>
      </c>
      <c r="F10" s="191">
        <f>+F8-F9</f>
        <v>91144.261013292096</v>
      </c>
      <c r="G10" s="191">
        <f t="shared" ref="G10:M10" si="1">+G8-G9</f>
        <v>49669.387451691968</v>
      </c>
      <c r="H10" s="191">
        <f t="shared" si="1"/>
        <v>8194.5138900918391</v>
      </c>
      <c r="I10" s="191">
        <f t="shared" si="1"/>
        <v>111770.67897994586</v>
      </c>
      <c r="J10" s="191">
        <f t="shared" si="1"/>
        <v>69341.281719603459</v>
      </c>
      <c r="K10" s="191">
        <f t="shared" si="1"/>
        <v>26911.884459261062</v>
      </c>
      <c r="L10" s="191">
        <f t="shared" si="1"/>
        <v>129533.5258503728</v>
      </c>
      <c r="M10" s="216">
        <f t="shared" si="1"/>
        <v>87104.128590030392</v>
      </c>
    </row>
    <row r="11" spans="1:14" x14ac:dyDescent="0.25">
      <c r="A11" s="196" t="s">
        <v>183</v>
      </c>
      <c r="B11" s="191">
        <f>+'eoq y ss'!G5*2</f>
        <v>290102.07730290829</v>
      </c>
      <c r="C11" s="191">
        <f>IF(C10&gt;C13,0,'eoq y ss'!$G$5)</f>
        <v>0</v>
      </c>
      <c r="D11" s="191">
        <f>IF(D10&gt;D13,0,'eoq y ss'!$G$5)</f>
        <v>0</v>
      </c>
      <c r="E11" s="191">
        <f>IF(E10&gt;E13,0,'eoq y ss'!$G$5)</f>
        <v>0</v>
      </c>
      <c r="F11" s="191">
        <f>IF(F10&gt;F13,0,'eoq y ss'!$G$5)</f>
        <v>0</v>
      </c>
      <c r="G11" s="191">
        <f>IF(G10&gt;G13,0,'eoq y ss'!$G$5)</f>
        <v>0</v>
      </c>
      <c r="H11" s="191">
        <f>IF(H10&gt;H13,0,'eoq y ss'!$G$5)</f>
        <v>145051.03865145415</v>
      </c>
      <c r="I11" s="191">
        <f>IF(I10&gt;I13,0,'eoq y ss'!$G$5)</f>
        <v>0</v>
      </c>
      <c r="J11" s="191">
        <f>IF(J10&gt;J13,0,'eoq y ss'!$G$5)</f>
        <v>0</v>
      </c>
      <c r="K11" s="191">
        <f>IF(K10&gt;K13,0,'eoq y ss'!$G$5)</f>
        <v>145051.03865145415</v>
      </c>
      <c r="L11" s="191">
        <f>IF(L10&gt;L13,0,'eoq y ss'!$G$5)</f>
        <v>0</v>
      </c>
      <c r="M11" s="216">
        <f>IF(M10&gt;M13,0,'eoq y ss'!$G$5)</f>
        <v>0</v>
      </c>
    </row>
    <row r="12" spans="1:14" s="13" customFormat="1" x14ac:dyDescent="0.25">
      <c r="A12" s="203" t="s">
        <v>184</v>
      </c>
      <c r="B12" s="191">
        <f>B10+B11</f>
        <v>250731.34162090428</v>
      </c>
      <c r="C12" s="191">
        <f>C10+C11</f>
        <v>211360.60593890026</v>
      </c>
      <c r="D12" s="191">
        <f>D10+D11</f>
        <v>171989.87025689625</v>
      </c>
      <c r="E12" s="191">
        <f>E10+E11</f>
        <v>132619.13457489223</v>
      </c>
      <c r="F12" s="191">
        <f t="shared" ref="F12:M12" si="2">F10+F11</f>
        <v>91144.261013292096</v>
      </c>
      <c r="G12" s="191">
        <f t="shared" si="2"/>
        <v>49669.387451691968</v>
      </c>
      <c r="H12" s="191">
        <f t="shared" si="2"/>
        <v>153245.552541546</v>
      </c>
      <c r="I12" s="191">
        <f t="shared" si="2"/>
        <v>111770.67897994586</v>
      </c>
      <c r="J12" s="191">
        <f t="shared" si="2"/>
        <v>69341.281719603459</v>
      </c>
      <c r="K12" s="191">
        <f t="shared" si="2"/>
        <v>171962.9231107152</v>
      </c>
      <c r="L12" s="191">
        <f t="shared" si="2"/>
        <v>129533.5258503728</v>
      </c>
      <c r="M12" s="216">
        <f t="shared" si="2"/>
        <v>87104.128590030392</v>
      </c>
    </row>
    <row r="13" spans="1:14" s="13" customFormat="1" ht="15.75" thickBot="1" x14ac:dyDescent="0.3">
      <c r="A13" s="204" t="s">
        <v>189</v>
      </c>
      <c r="B13" s="201">
        <f>+'eoq y ss'!$C$48</f>
        <v>45095.601452901334</v>
      </c>
      <c r="C13" s="201">
        <f>+'eoq y ss'!$C$48</f>
        <v>45095.601452901334</v>
      </c>
      <c r="D13" s="201">
        <f>+'eoq y ss'!$C$48</f>
        <v>45095.601452901334</v>
      </c>
      <c r="E13" s="201">
        <f>+'eoq y ss'!$C$48</f>
        <v>45095.601452901334</v>
      </c>
      <c r="F13" s="201">
        <f>+'eoq y ss'!$C$48</f>
        <v>45095.601452901334</v>
      </c>
      <c r="G13" s="201">
        <f>+'eoq y ss'!$C$48</f>
        <v>45095.601452901334</v>
      </c>
      <c r="H13" s="201">
        <f>+'eoq y ss'!$C$48</f>
        <v>45095.601452901334</v>
      </c>
      <c r="I13" s="201">
        <f>+'eoq y ss'!$C$48</f>
        <v>45095.601452901334</v>
      </c>
      <c r="J13" s="201">
        <f>+'eoq y ss'!$C$48</f>
        <v>45095.601452901334</v>
      </c>
      <c r="K13" s="201">
        <f>+'eoq y ss'!$C$48</f>
        <v>45095.601452901334</v>
      </c>
      <c r="L13" s="201">
        <f>+'eoq y ss'!$C$48</f>
        <v>45095.601452901334</v>
      </c>
      <c r="M13" s="217">
        <f>+'eoq y ss'!$C$48</f>
        <v>45095.601452901334</v>
      </c>
    </row>
    <row r="14" spans="1:14" ht="15.75" thickBot="1" x14ac:dyDescent="0.3">
      <c r="A14" s="49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82"/>
    </row>
    <row r="15" spans="1:14" ht="15.75" thickBot="1" x14ac:dyDescent="0.3"/>
    <row r="16" spans="1:14" s="4" customFormat="1" x14ac:dyDescent="0.25">
      <c r="A16" s="81" t="s">
        <v>180</v>
      </c>
      <c r="B16" s="212">
        <v>100002</v>
      </c>
      <c r="C16" s="243" t="s">
        <v>55</v>
      </c>
      <c r="D16" s="244"/>
      <c r="E16" s="244"/>
      <c r="F16" s="244"/>
      <c r="G16" s="74"/>
      <c r="H16" s="74"/>
      <c r="I16" s="74"/>
      <c r="J16" s="74"/>
      <c r="K16" s="74"/>
      <c r="L16" s="74"/>
      <c r="M16" s="75"/>
    </row>
    <row r="17" spans="1:13" s="4" customFormat="1" x14ac:dyDescent="0.25">
      <c r="A17" s="240" t="s">
        <v>186</v>
      </c>
      <c r="B17" s="241"/>
      <c r="C17" s="207">
        <f>+'eoq y ss'!G18</f>
        <v>100830.56752570921</v>
      </c>
      <c r="D17" s="208"/>
      <c r="E17" s="208"/>
      <c r="F17" s="208"/>
      <c r="G17" s="2"/>
      <c r="H17" s="2"/>
      <c r="I17" s="2"/>
      <c r="J17" s="2"/>
      <c r="K17" s="2"/>
      <c r="L17" s="2"/>
      <c r="M17" s="48"/>
    </row>
    <row r="18" spans="1:13" s="4" customFormat="1" x14ac:dyDescent="0.25">
      <c r="A18" s="240" t="s">
        <v>187</v>
      </c>
      <c r="B18" s="241"/>
      <c r="C18" s="241"/>
      <c r="D18" s="14">
        <v>0</v>
      </c>
      <c r="E18" s="208"/>
      <c r="F18" s="208"/>
      <c r="G18" s="2"/>
      <c r="H18" s="2"/>
      <c r="I18" s="2"/>
      <c r="J18" s="2"/>
      <c r="K18" s="2"/>
      <c r="L18" s="2"/>
      <c r="M18" s="48"/>
    </row>
    <row r="19" spans="1:13" s="4" customFormat="1" ht="18.75" x14ac:dyDescent="0.3">
      <c r="A19" s="46"/>
      <c r="B19" s="242" t="s">
        <v>185</v>
      </c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09"/>
    </row>
    <row r="20" spans="1:13" s="131" customFormat="1" ht="15.75" thickBot="1" x14ac:dyDescent="0.3">
      <c r="A20" s="210" t="s">
        <v>179</v>
      </c>
      <c r="B20" s="192">
        <v>1</v>
      </c>
      <c r="C20" s="192">
        <v>2</v>
      </c>
      <c r="D20" s="192">
        <v>3</v>
      </c>
      <c r="E20" s="192">
        <v>4</v>
      </c>
      <c r="F20" s="192">
        <v>5</v>
      </c>
      <c r="G20" s="192">
        <v>6</v>
      </c>
      <c r="H20" s="192">
        <v>7</v>
      </c>
      <c r="I20" s="192">
        <v>8</v>
      </c>
      <c r="J20" s="192">
        <v>9</v>
      </c>
      <c r="K20" s="192">
        <v>10</v>
      </c>
      <c r="L20" s="192">
        <v>11</v>
      </c>
      <c r="M20" s="211">
        <v>12</v>
      </c>
    </row>
    <row r="21" spans="1:13" s="13" customFormat="1" x14ac:dyDescent="0.25">
      <c r="A21" s="193" t="s">
        <v>188</v>
      </c>
      <c r="B21" s="194">
        <v>0</v>
      </c>
      <c r="C21" s="194">
        <f>+B25</f>
        <v>173046.13505141842</v>
      </c>
      <c r="D21" s="194">
        <f>+C25</f>
        <v>144431.13505141842</v>
      </c>
      <c r="E21" s="194">
        <f t="shared" ref="E21:M21" si="3">+D25</f>
        <v>115816.13505141842</v>
      </c>
      <c r="F21" s="194">
        <f t="shared" si="3"/>
        <v>87201.135051418416</v>
      </c>
      <c r="G21" s="194">
        <f t="shared" si="3"/>
        <v>57122.135051418416</v>
      </c>
      <c r="H21" s="194">
        <f t="shared" si="3"/>
        <v>127873.70257712762</v>
      </c>
      <c r="I21" s="194">
        <f t="shared" si="3"/>
        <v>97794.702577127624</v>
      </c>
      <c r="J21" s="194">
        <f t="shared" si="3"/>
        <v>67715.702577127624</v>
      </c>
      <c r="K21" s="194">
        <f t="shared" si="3"/>
        <v>37193.702577127624</v>
      </c>
      <c r="L21" s="194">
        <f t="shared" si="3"/>
        <v>107502.27010283683</v>
      </c>
      <c r="M21" s="195">
        <f t="shared" si="3"/>
        <v>76980.270102836832</v>
      </c>
    </row>
    <row r="22" spans="1:13" s="4" customFormat="1" x14ac:dyDescent="0.25">
      <c r="A22" s="196" t="s">
        <v>181</v>
      </c>
      <c r="B22" s="146">
        <v>28615</v>
      </c>
      <c r="C22" s="146">
        <v>28615</v>
      </c>
      <c r="D22" s="146">
        <v>28615</v>
      </c>
      <c r="E22" s="146">
        <v>28615</v>
      </c>
      <c r="F22" s="191">
        <v>30079</v>
      </c>
      <c r="G22" s="191">
        <v>30079</v>
      </c>
      <c r="H22" s="191">
        <v>30079</v>
      </c>
      <c r="I22" s="191">
        <v>30079</v>
      </c>
      <c r="J22" s="146">
        <v>30522</v>
      </c>
      <c r="K22" s="146">
        <v>30522</v>
      </c>
      <c r="L22" s="146">
        <v>30522</v>
      </c>
      <c r="M22" s="197">
        <v>30522</v>
      </c>
    </row>
    <row r="23" spans="1:13" s="4" customFormat="1" x14ac:dyDescent="0.25">
      <c r="A23" s="196" t="s">
        <v>182</v>
      </c>
      <c r="B23" s="146">
        <f>+B21-B22</f>
        <v>-28615</v>
      </c>
      <c r="C23" s="191">
        <f>+C21-C22</f>
        <v>144431.13505141842</v>
      </c>
      <c r="D23" s="191">
        <f>+D21-D22</f>
        <v>115816.13505141842</v>
      </c>
      <c r="E23" s="191">
        <f>+E21-E22</f>
        <v>87201.135051418416</v>
      </c>
      <c r="F23" s="191">
        <f>+F21-F22</f>
        <v>57122.135051418416</v>
      </c>
      <c r="G23" s="191">
        <f t="shared" ref="G23" si="4">+G21-G22</f>
        <v>27043.135051418416</v>
      </c>
      <c r="H23" s="191">
        <f t="shared" ref="H23" si="5">+H21-H22</f>
        <v>97794.702577127624</v>
      </c>
      <c r="I23" s="191">
        <f t="shared" ref="I23" si="6">+I21-I22</f>
        <v>67715.702577127624</v>
      </c>
      <c r="J23" s="191">
        <f t="shared" ref="J23" si="7">+J21-J22</f>
        <v>37193.702577127624</v>
      </c>
      <c r="K23" s="191">
        <f t="shared" ref="K23" si="8">+K21-K22</f>
        <v>6671.702577127624</v>
      </c>
      <c r="L23" s="191">
        <f t="shared" ref="L23" si="9">+L21-L22</f>
        <v>76980.270102836832</v>
      </c>
      <c r="M23" s="198">
        <f t="shared" ref="M23" si="10">+M21-M22</f>
        <v>46458.270102836832</v>
      </c>
    </row>
    <row r="24" spans="1:13" s="4" customFormat="1" x14ac:dyDescent="0.25">
      <c r="A24" s="196" t="s">
        <v>183</v>
      </c>
      <c r="B24" s="191">
        <f>+'eoq y ss'!G18*2</f>
        <v>201661.13505141842</v>
      </c>
      <c r="C24" s="191">
        <f>IF(C23&gt;C26,0,'eoq y ss'!$G$18)</f>
        <v>0</v>
      </c>
      <c r="D24" s="191">
        <f>IF(D23&gt;D26,0,'eoq y ss'!$G$18)</f>
        <v>0</v>
      </c>
      <c r="E24" s="191">
        <f>IF(E23&gt;E26,0,'eoq y ss'!$G$18)</f>
        <v>0</v>
      </c>
      <c r="F24" s="191">
        <f>IF(F23&gt;F26,0,'eoq y ss'!$G$18)</f>
        <v>0</v>
      </c>
      <c r="G24" s="191">
        <f>IF(G23&gt;G26,0,'eoq y ss'!$G$18)</f>
        <v>100830.56752570921</v>
      </c>
      <c r="H24" s="191">
        <f>IF(H23&gt;H26,0,'eoq y ss'!$G$18)</f>
        <v>0</v>
      </c>
      <c r="I24" s="191">
        <f>IF(I23&gt;I26,0,'eoq y ss'!$G$18)</f>
        <v>0</v>
      </c>
      <c r="J24" s="191">
        <f>IF(J23&gt;J26,0,'eoq y ss'!$G$18)</f>
        <v>0</v>
      </c>
      <c r="K24" s="191">
        <f>IF(K23&gt;K26,0,'eoq y ss'!$G$18)</f>
        <v>100830.56752570921</v>
      </c>
      <c r="L24" s="191">
        <f>IF(L23&gt;L26,0,'eoq y ss'!$G$18)</f>
        <v>0</v>
      </c>
      <c r="M24" s="198">
        <f>IF(M23&gt;M26,0,'eoq y ss'!$G$18)</f>
        <v>0</v>
      </c>
    </row>
    <row r="25" spans="1:13" s="13" customFormat="1" x14ac:dyDescent="0.25">
      <c r="A25" s="199" t="s">
        <v>184</v>
      </c>
      <c r="B25" s="191">
        <f>B23+B24</f>
        <v>173046.13505141842</v>
      </c>
      <c r="C25" s="191">
        <f>C23+C24</f>
        <v>144431.13505141842</v>
      </c>
      <c r="D25" s="191">
        <f>D23+D24</f>
        <v>115816.13505141842</v>
      </c>
      <c r="E25" s="191">
        <f>E23+E24</f>
        <v>87201.135051418416</v>
      </c>
      <c r="F25" s="191">
        <f t="shared" ref="F25" si="11">F23+F24</f>
        <v>57122.135051418416</v>
      </c>
      <c r="G25" s="191">
        <f t="shared" ref="G25" si="12">G23+G24</f>
        <v>127873.70257712762</v>
      </c>
      <c r="H25" s="191">
        <f t="shared" ref="H25" si="13">H23+H24</f>
        <v>97794.702577127624</v>
      </c>
      <c r="I25" s="191">
        <f t="shared" ref="I25" si="14">I23+I24</f>
        <v>67715.702577127624</v>
      </c>
      <c r="J25" s="191">
        <f t="shared" ref="J25" si="15">J23+J24</f>
        <v>37193.702577127624</v>
      </c>
      <c r="K25" s="191">
        <f t="shared" ref="K25" si="16">K23+K24</f>
        <v>107502.27010283683</v>
      </c>
      <c r="L25" s="191">
        <f t="shared" ref="L25" si="17">L23+L24</f>
        <v>76980.270102836832</v>
      </c>
      <c r="M25" s="198">
        <f t="shared" ref="M25" si="18">M23+M24</f>
        <v>46458.270102836832</v>
      </c>
    </row>
    <row r="26" spans="1:13" s="13" customFormat="1" ht="15.75" thickBot="1" x14ac:dyDescent="0.3">
      <c r="A26" s="200" t="s">
        <v>189</v>
      </c>
      <c r="B26" s="201">
        <f>+'eoq y ss'!$L$48</f>
        <v>31379.022677643847</v>
      </c>
      <c r="C26" s="201">
        <f>+'eoq y ss'!$L$48</f>
        <v>31379.022677643847</v>
      </c>
      <c r="D26" s="201">
        <f>+'eoq y ss'!$L$48</f>
        <v>31379.022677643847</v>
      </c>
      <c r="E26" s="201">
        <f>+'eoq y ss'!$L$48</f>
        <v>31379.022677643847</v>
      </c>
      <c r="F26" s="201">
        <f>+'eoq y ss'!$L$48</f>
        <v>31379.022677643847</v>
      </c>
      <c r="G26" s="201">
        <f>+'eoq y ss'!$L$48</f>
        <v>31379.022677643847</v>
      </c>
      <c r="H26" s="201">
        <f>+'eoq y ss'!$L$48</f>
        <v>31379.022677643847</v>
      </c>
      <c r="I26" s="201">
        <f>+'eoq y ss'!$L$48</f>
        <v>31379.022677643847</v>
      </c>
      <c r="J26" s="201">
        <f>+'eoq y ss'!$L$48</f>
        <v>31379.022677643847</v>
      </c>
      <c r="K26" s="201">
        <f>+'eoq y ss'!$L$48</f>
        <v>31379.022677643847</v>
      </c>
      <c r="L26" s="201">
        <f>+'eoq y ss'!$L$48</f>
        <v>31379.022677643847</v>
      </c>
      <c r="M26" s="202">
        <f>+'eoq y ss'!$L$48</f>
        <v>31379.022677643847</v>
      </c>
    </row>
    <row r="27" spans="1:13" ht="15.75" thickBot="1" x14ac:dyDescent="0.3">
      <c r="A27" s="49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82"/>
    </row>
    <row r="28" spans="1:13" s="4" customFormat="1" x14ac:dyDescent="0.25">
      <c r="A28" s="81" t="s">
        <v>180</v>
      </c>
      <c r="B28" s="212">
        <v>100003</v>
      </c>
      <c r="C28" s="243" t="s">
        <v>48</v>
      </c>
      <c r="D28" s="244"/>
      <c r="E28" s="244"/>
      <c r="F28" s="244"/>
      <c r="G28" s="74"/>
      <c r="H28" s="74"/>
      <c r="I28" s="74"/>
      <c r="J28" s="74"/>
      <c r="K28" s="74"/>
      <c r="L28" s="74"/>
      <c r="M28" s="75"/>
    </row>
    <row r="29" spans="1:13" s="4" customFormat="1" x14ac:dyDescent="0.25">
      <c r="A29" s="240" t="s">
        <v>186</v>
      </c>
      <c r="B29" s="241"/>
      <c r="C29" s="207">
        <f>+'eoq y ss'!P5</f>
        <v>36781.354564331094</v>
      </c>
      <c r="D29" s="208"/>
      <c r="E29" s="208"/>
      <c r="F29" s="208"/>
      <c r="G29" s="2"/>
      <c r="H29" s="2"/>
      <c r="I29" s="2"/>
      <c r="J29" s="2"/>
      <c r="K29" s="2"/>
      <c r="L29" s="2"/>
      <c r="M29" s="48"/>
    </row>
    <row r="30" spans="1:13" s="4" customFormat="1" x14ac:dyDescent="0.25">
      <c r="A30" s="240" t="s">
        <v>187</v>
      </c>
      <c r="B30" s="241"/>
      <c r="C30" s="241"/>
      <c r="D30" s="14">
        <v>0</v>
      </c>
      <c r="E30" s="208"/>
      <c r="F30" s="208"/>
      <c r="G30" s="2"/>
      <c r="H30" s="2"/>
      <c r="I30" s="2"/>
      <c r="J30" s="2"/>
      <c r="K30" s="2"/>
      <c r="L30" s="2"/>
      <c r="M30" s="48"/>
    </row>
    <row r="31" spans="1:13" s="4" customFormat="1" ht="18.75" x14ac:dyDescent="0.3">
      <c r="A31" s="46"/>
      <c r="B31" s="242" t="s">
        <v>185</v>
      </c>
      <c r="C31" s="242"/>
      <c r="D31" s="242"/>
      <c r="E31" s="242"/>
      <c r="F31" s="242"/>
      <c r="G31" s="242"/>
      <c r="H31" s="242"/>
      <c r="I31" s="242"/>
      <c r="J31" s="242"/>
      <c r="K31" s="242"/>
      <c r="L31" s="242"/>
      <c r="M31" s="209"/>
    </row>
    <row r="32" spans="1:13" s="131" customFormat="1" ht="15.75" thickBot="1" x14ac:dyDescent="0.3">
      <c r="A32" s="210" t="s">
        <v>179</v>
      </c>
      <c r="B32" s="192">
        <v>1</v>
      </c>
      <c r="C32" s="192">
        <v>2</v>
      </c>
      <c r="D32" s="192">
        <v>3</v>
      </c>
      <c r="E32" s="192">
        <v>4</v>
      </c>
      <c r="F32" s="192">
        <v>5</v>
      </c>
      <c r="G32" s="192">
        <v>6</v>
      </c>
      <c r="H32" s="192">
        <v>7</v>
      </c>
      <c r="I32" s="192">
        <v>8</v>
      </c>
      <c r="J32" s="192">
        <v>9</v>
      </c>
      <c r="K32" s="192">
        <v>10</v>
      </c>
      <c r="L32" s="192">
        <v>11</v>
      </c>
      <c r="M32" s="211">
        <v>12</v>
      </c>
    </row>
    <row r="33" spans="1:13" s="13" customFormat="1" x14ac:dyDescent="0.25">
      <c r="A33" s="193" t="s">
        <v>188</v>
      </c>
      <c r="B33" s="194">
        <v>0</v>
      </c>
      <c r="C33" s="194">
        <f>+B37</f>
        <v>66523.709128662187</v>
      </c>
      <c r="D33" s="194">
        <f>+C37</f>
        <v>59484.709128662187</v>
      </c>
      <c r="E33" s="194">
        <f t="shared" ref="E33:M33" si="19">+D37</f>
        <v>52445.709128662187</v>
      </c>
      <c r="F33" s="194">
        <f t="shared" si="19"/>
        <v>45406.709128662187</v>
      </c>
      <c r="G33" s="194">
        <f t="shared" si="19"/>
        <v>37052.709128662187</v>
      </c>
      <c r="H33" s="194">
        <f t="shared" si="19"/>
        <v>28698.709128662187</v>
      </c>
      <c r="I33" s="194">
        <f t="shared" si="19"/>
        <v>20344.709128662187</v>
      </c>
      <c r="J33" s="194">
        <f t="shared" si="19"/>
        <v>48772.063692993281</v>
      </c>
      <c r="K33" s="194">
        <f t="shared" si="19"/>
        <v>40286.063692993281</v>
      </c>
      <c r="L33" s="194">
        <f t="shared" si="19"/>
        <v>31800.063692993281</v>
      </c>
      <c r="M33" s="195">
        <f t="shared" si="19"/>
        <v>23314.063692993281</v>
      </c>
    </row>
    <row r="34" spans="1:13" s="4" customFormat="1" x14ac:dyDescent="0.25">
      <c r="A34" s="196" t="s">
        <v>181</v>
      </c>
      <c r="B34" s="146">
        <v>7039</v>
      </c>
      <c r="C34" s="146">
        <v>7039</v>
      </c>
      <c r="D34" s="146">
        <v>7039</v>
      </c>
      <c r="E34" s="146">
        <v>7039</v>
      </c>
      <c r="F34" s="191">
        <v>8354</v>
      </c>
      <c r="G34" s="191">
        <v>8354</v>
      </c>
      <c r="H34" s="191">
        <v>8354</v>
      </c>
      <c r="I34" s="191">
        <v>8354</v>
      </c>
      <c r="J34" s="146">
        <v>8486</v>
      </c>
      <c r="K34" s="146">
        <v>8486</v>
      </c>
      <c r="L34" s="146">
        <v>8486</v>
      </c>
      <c r="M34" s="197">
        <v>8486</v>
      </c>
    </row>
    <row r="35" spans="1:13" s="4" customFormat="1" x14ac:dyDescent="0.25">
      <c r="A35" s="196" t="s">
        <v>182</v>
      </c>
      <c r="B35" s="146">
        <f>+B33-B34</f>
        <v>-7039</v>
      </c>
      <c r="C35" s="191">
        <f>+C33-C34</f>
        <v>59484.709128662187</v>
      </c>
      <c r="D35" s="191">
        <f>+D33-D34</f>
        <v>52445.709128662187</v>
      </c>
      <c r="E35" s="191">
        <f>+E33-E34</f>
        <v>45406.709128662187</v>
      </c>
      <c r="F35" s="191">
        <f>+F33-F34</f>
        <v>37052.709128662187</v>
      </c>
      <c r="G35" s="191">
        <f t="shared" ref="G35" si="20">+G33-G34</f>
        <v>28698.709128662187</v>
      </c>
      <c r="H35" s="191">
        <f t="shared" ref="H35" si="21">+H33-H34</f>
        <v>20344.709128662187</v>
      </c>
      <c r="I35" s="191">
        <f t="shared" ref="I35" si="22">+I33-I34</f>
        <v>11990.709128662187</v>
      </c>
      <c r="J35" s="191">
        <f t="shared" ref="J35" si="23">+J33-J34</f>
        <v>40286.063692993281</v>
      </c>
      <c r="K35" s="191">
        <f t="shared" ref="K35" si="24">+K33-K34</f>
        <v>31800.063692993281</v>
      </c>
      <c r="L35" s="191">
        <f t="shared" ref="L35" si="25">+L33-L34</f>
        <v>23314.063692993281</v>
      </c>
      <c r="M35" s="198">
        <f t="shared" ref="M35" si="26">+M33-M34</f>
        <v>14828.063692993281</v>
      </c>
    </row>
    <row r="36" spans="1:13" s="4" customFormat="1" x14ac:dyDescent="0.25">
      <c r="A36" s="196" t="s">
        <v>183</v>
      </c>
      <c r="B36" s="191">
        <f>+'eoq y ss'!P5*2</f>
        <v>73562.709128662187</v>
      </c>
      <c r="C36" s="191">
        <f>IF(C35&gt;C38,0,'eoq y ss'!$P$5)</f>
        <v>0</v>
      </c>
      <c r="D36" s="191">
        <f>IF(D35&gt;D38,0,'eoq y ss'!$P$5)</f>
        <v>0</v>
      </c>
      <c r="E36" s="191">
        <f>IF(E35&gt;E38,0,'eoq y ss'!$P$5)</f>
        <v>0</v>
      </c>
      <c r="F36" s="191">
        <f>IF(F35&gt;F38,0,'eoq y ss'!$P$5)</f>
        <v>0</v>
      </c>
      <c r="G36" s="191">
        <f>IF(G35&gt;G38,0,'eoq y ss'!$P$5)</f>
        <v>0</v>
      </c>
      <c r="H36" s="191">
        <f>IF(H35&gt;H38,0,'eoq y ss'!$P$5)</f>
        <v>0</v>
      </c>
      <c r="I36" s="191">
        <f>IF(I35&gt;I38,0,'eoq y ss'!$P$5)</f>
        <v>36781.354564331094</v>
      </c>
      <c r="J36" s="191">
        <f>IF(J35&gt;J38,0,'eoq y ss'!$P$5)</f>
        <v>0</v>
      </c>
      <c r="K36" s="191">
        <f>IF(K35&gt;K38,0,'eoq y ss'!$P$5)</f>
        <v>0</v>
      </c>
      <c r="L36" s="191">
        <f>IF(L35&gt;L38,0,'eoq y ss'!$P$5)</f>
        <v>0</v>
      </c>
      <c r="M36" s="198">
        <f>IF(M35&gt;M38,0,'eoq y ss'!$P$5)</f>
        <v>0</v>
      </c>
    </row>
    <row r="37" spans="1:13" s="13" customFormat="1" x14ac:dyDescent="0.25">
      <c r="A37" s="199" t="s">
        <v>184</v>
      </c>
      <c r="B37" s="191">
        <f>B35+B36</f>
        <v>66523.709128662187</v>
      </c>
      <c r="C37" s="191">
        <f>C35+C36</f>
        <v>59484.709128662187</v>
      </c>
      <c r="D37" s="191">
        <f>D35+D36</f>
        <v>52445.709128662187</v>
      </c>
      <c r="E37" s="191">
        <f>E35+E36</f>
        <v>45406.709128662187</v>
      </c>
      <c r="F37" s="191">
        <f t="shared" ref="F37" si="27">F35+F36</f>
        <v>37052.709128662187</v>
      </c>
      <c r="G37" s="191">
        <f t="shared" ref="G37" si="28">G35+G36</f>
        <v>28698.709128662187</v>
      </c>
      <c r="H37" s="191">
        <f t="shared" ref="H37" si="29">H35+H36</f>
        <v>20344.709128662187</v>
      </c>
      <c r="I37" s="191">
        <f t="shared" ref="I37" si="30">I35+I36</f>
        <v>48772.063692993281</v>
      </c>
      <c r="J37" s="191">
        <f t="shared" ref="J37" si="31">J35+J36</f>
        <v>40286.063692993281</v>
      </c>
      <c r="K37" s="191">
        <f t="shared" ref="K37" si="32">K35+K36</f>
        <v>31800.063692993281</v>
      </c>
      <c r="L37" s="191">
        <f t="shared" ref="L37" si="33">L35+L36</f>
        <v>23314.063692993281</v>
      </c>
      <c r="M37" s="198">
        <f t="shared" ref="M37" si="34">M35+M36</f>
        <v>14828.063692993281</v>
      </c>
    </row>
    <row r="38" spans="1:13" s="13" customFormat="1" ht="15.75" thickBot="1" x14ac:dyDescent="0.3">
      <c r="A38" s="200" t="s">
        <v>189</v>
      </c>
      <c r="B38" s="201">
        <f>+'eoq y ss'!$G$48</f>
        <v>14092.375454031666</v>
      </c>
      <c r="C38" s="201">
        <f>+'eoq y ss'!$G$48</f>
        <v>14092.375454031666</v>
      </c>
      <c r="D38" s="201">
        <f>+'eoq y ss'!$G$48</f>
        <v>14092.375454031666</v>
      </c>
      <c r="E38" s="201">
        <f>+'eoq y ss'!$G$48</f>
        <v>14092.375454031666</v>
      </c>
      <c r="F38" s="201">
        <f>+'eoq y ss'!$G$48</f>
        <v>14092.375454031666</v>
      </c>
      <c r="G38" s="201">
        <f>+'eoq y ss'!$G$48</f>
        <v>14092.375454031666</v>
      </c>
      <c r="H38" s="201">
        <f>+'eoq y ss'!$G$48</f>
        <v>14092.375454031666</v>
      </c>
      <c r="I38" s="201">
        <f>+'eoq y ss'!$G$48</f>
        <v>14092.375454031666</v>
      </c>
      <c r="J38" s="201">
        <f>+'eoq y ss'!$G$48</f>
        <v>14092.375454031666</v>
      </c>
      <c r="K38" s="201">
        <f>+'eoq y ss'!$G$48</f>
        <v>14092.375454031666</v>
      </c>
      <c r="L38" s="201">
        <f>+'eoq y ss'!$G$48</f>
        <v>14092.375454031666</v>
      </c>
      <c r="M38" s="202">
        <f>+'eoq y ss'!$G$48</f>
        <v>14092.375454031666</v>
      </c>
    </row>
    <row r="39" spans="1:13" ht="15.75" thickBot="1" x14ac:dyDescent="0.3">
      <c r="A39" s="49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82"/>
    </row>
    <row r="40" spans="1:13" ht="15.75" thickBot="1" x14ac:dyDescent="0.3"/>
    <row r="41" spans="1:13" x14ac:dyDescent="0.25">
      <c r="A41" s="81" t="s">
        <v>180</v>
      </c>
      <c r="B41" s="212">
        <v>100004</v>
      </c>
      <c r="C41" s="243" t="s">
        <v>56</v>
      </c>
      <c r="D41" s="244"/>
      <c r="E41" s="244"/>
      <c r="F41" s="244"/>
      <c r="G41" s="74"/>
      <c r="H41" s="74"/>
      <c r="I41" s="74"/>
      <c r="J41" s="74"/>
      <c r="K41" s="74"/>
      <c r="L41" s="74"/>
      <c r="M41" s="75"/>
    </row>
    <row r="42" spans="1:13" x14ac:dyDescent="0.25">
      <c r="A42" s="240" t="s">
        <v>186</v>
      </c>
      <c r="B42" s="241"/>
      <c r="C42" s="207">
        <f>+'eoq y ss'!P19</f>
        <v>75486.953836994988</v>
      </c>
      <c r="D42" s="208"/>
      <c r="E42" s="208"/>
      <c r="F42" s="208"/>
      <c r="G42" s="2"/>
      <c r="H42" s="2"/>
      <c r="I42" s="2"/>
      <c r="J42" s="2"/>
      <c r="K42" s="2"/>
      <c r="L42" s="2"/>
      <c r="M42" s="48"/>
    </row>
    <row r="43" spans="1:13" x14ac:dyDescent="0.25">
      <c r="A43" s="240" t="s">
        <v>187</v>
      </c>
      <c r="B43" s="241"/>
      <c r="C43" s="241"/>
      <c r="D43" s="14">
        <v>0</v>
      </c>
      <c r="E43" s="208"/>
      <c r="F43" s="208"/>
      <c r="G43" s="2"/>
      <c r="H43" s="2"/>
      <c r="I43" s="2"/>
      <c r="J43" s="2"/>
      <c r="K43" s="2"/>
      <c r="L43" s="2"/>
      <c r="M43" s="48"/>
    </row>
    <row r="44" spans="1:13" ht="18.75" x14ac:dyDescent="0.3">
      <c r="A44" s="46"/>
      <c r="B44" s="242" t="s">
        <v>185</v>
      </c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209"/>
    </row>
    <row r="45" spans="1:13" ht="15.75" thickBot="1" x14ac:dyDescent="0.3">
      <c r="A45" s="210" t="s">
        <v>179</v>
      </c>
      <c r="B45" s="192">
        <v>1</v>
      </c>
      <c r="C45" s="192">
        <v>2</v>
      </c>
      <c r="D45" s="192">
        <v>3</v>
      </c>
      <c r="E45" s="192">
        <v>4</v>
      </c>
      <c r="F45" s="192">
        <v>5</v>
      </c>
      <c r="G45" s="192">
        <v>6</v>
      </c>
      <c r="H45" s="192">
        <v>7</v>
      </c>
      <c r="I45" s="192">
        <v>8</v>
      </c>
      <c r="J45" s="192">
        <v>9</v>
      </c>
      <c r="K45" s="192">
        <v>10</v>
      </c>
      <c r="L45" s="192">
        <v>11</v>
      </c>
      <c r="M45" s="211">
        <v>12</v>
      </c>
    </row>
    <row r="46" spans="1:13" x14ac:dyDescent="0.25">
      <c r="A46" s="193" t="s">
        <v>188</v>
      </c>
      <c r="B46" s="194">
        <v>0</v>
      </c>
      <c r="C46" s="194">
        <f>+B50</f>
        <v>137049.90767398998</v>
      </c>
      <c r="D46" s="194">
        <f>+C50</f>
        <v>123125.90767398998</v>
      </c>
      <c r="E46" s="194">
        <f t="shared" ref="E46:M46" si="35">+D50</f>
        <v>109201.90767398998</v>
      </c>
      <c r="F46" s="194">
        <f t="shared" si="35"/>
        <v>95277.907673989976</v>
      </c>
      <c r="G46" s="194">
        <f t="shared" si="35"/>
        <v>79712.907673989976</v>
      </c>
      <c r="H46" s="194">
        <f t="shared" si="35"/>
        <v>64147.907673989976</v>
      </c>
      <c r="I46" s="194">
        <f t="shared" si="35"/>
        <v>48582.907673989976</v>
      </c>
      <c r="J46" s="194">
        <f t="shared" si="35"/>
        <v>33017.907673989976</v>
      </c>
      <c r="K46" s="194">
        <f t="shared" si="35"/>
        <v>92567.861510984963</v>
      </c>
      <c r="L46" s="194">
        <f t="shared" si="35"/>
        <v>76630.861510984963</v>
      </c>
      <c r="M46" s="195">
        <f t="shared" si="35"/>
        <v>60693.861510984963</v>
      </c>
    </row>
    <row r="47" spans="1:13" x14ac:dyDescent="0.25">
      <c r="A47" s="196" t="s">
        <v>181</v>
      </c>
      <c r="B47" s="146">
        <v>13924</v>
      </c>
      <c r="C47" s="146">
        <f>+B47</f>
        <v>13924</v>
      </c>
      <c r="D47" s="146">
        <f t="shared" ref="D47:E47" si="36">+C47</f>
        <v>13924</v>
      </c>
      <c r="E47" s="146">
        <f t="shared" si="36"/>
        <v>13924</v>
      </c>
      <c r="F47" s="191">
        <v>15565</v>
      </c>
      <c r="G47" s="191">
        <f>+F47</f>
        <v>15565</v>
      </c>
      <c r="H47" s="191">
        <f t="shared" ref="H47:I47" si="37">+G47</f>
        <v>15565</v>
      </c>
      <c r="I47" s="191">
        <f t="shared" si="37"/>
        <v>15565</v>
      </c>
      <c r="J47" s="146">
        <v>15937</v>
      </c>
      <c r="K47" s="146">
        <f>+J47</f>
        <v>15937</v>
      </c>
      <c r="L47" s="146">
        <f t="shared" ref="L47:M47" si="38">+K47</f>
        <v>15937</v>
      </c>
      <c r="M47" s="146">
        <f t="shared" si="38"/>
        <v>15937</v>
      </c>
    </row>
    <row r="48" spans="1:13" x14ac:dyDescent="0.25">
      <c r="A48" s="196" t="s">
        <v>182</v>
      </c>
      <c r="B48" s="146">
        <f>+B46-B47</f>
        <v>-13924</v>
      </c>
      <c r="C48" s="191">
        <f>+C46-C47</f>
        <v>123125.90767398998</v>
      </c>
      <c r="D48" s="191">
        <f>+D46-D47</f>
        <v>109201.90767398998</v>
      </c>
      <c r="E48" s="191">
        <f>+E46-E47</f>
        <v>95277.907673989976</v>
      </c>
      <c r="F48" s="191">
        <f>+F46-F47</f>
        <v>79712.907673989976</v>
      </c>
      <c r="G48" s="191">
        <f t="shared" ref="G48" si="39">+G46-G47</f>
        <v>64147.907673989976</v>
      </c>
      <c r="H48" s="191">
        <f t="shared" ref="H48" si="40">+H46-H47</f>
        <v>48582.907673989976</v>
      </c>
      <c r="I48" s="191">
        <f t="shared" ref="I48" si="41">+I46-I47</f>
        <v>33017.907673989976</v>
      </c>
      <c r="J48" s="191">
        <f t="shared" ref="J48" si="42">+J46-J47</f>
        <v>17080.907673989976</v>
      </c>
      <c r="K48" s="191">
        <f t="shared" ref="K48" si="43">+K46-K47</f>
        <v>76630.861510984963</v>
      </c>
      <c r="L48" s="191">
        <f t="shared" ref="L48" si="44">+L46-L47</f>
        <v>60693.861510984963</v>
      </c>
      <c r="M48" s="198">
        <f t="shared" ref="M48" si="45">+M46-M47</f>
        <v>44756.861510984963</v>
      </c>
    </row>
    <row r="49" spans="1:13" x14ac:dyDescent="0.25">
      <c r="A49" s="196" t="s">
        <v>183</v>
      </c>
      <c r="B49" s="191">
        <f>+'eoq y ss'!P19*2</f>
        <v>150973.90767398998</v>
      </c>
      <c r="C49" s="191">
        <f>IF(C48&gt;C51,0,'eoq y ss'!$P$19)</f>
        <v>0</v>
      </c>
      <c r="D49" s="191">
        <f>IF(D48&gt;D51,0,'eoq y ss'!$P$19)</f>
        <v>0</v>
      </c>
      <c r="E49" s="191">
        <f>IF(E48&gt;E51,0,'eoq y ss'!$P$19)</f>
        <v>0</v>
      </c>
      <c r="F49" s="191">
        <f>IF(F48&gt;F51,0,'eoq y ss'!$P$19)</f>
        <v>0</v>
      </c>
      <c r="G49" s="191">
        <f>IF(G48&gt;G51,0,'eoq y ss'!$P$19)</f>
        <v>0</v>
      </c>
      <c r="H49" s="191">
        <f>IF(H48&gt;H51,0,'eoq y ss'!$P$19)</f>
        <v>0</v>
      </c>
      <c r="I49" s="191">
        <f>IF(I48&gt;I51,0,'eoq y ss'!$P$19)</f>
        <v>0</v>
      </c>
      <c r="J49" s="191">
        <f>IF(J48&gt;J51,0,'eoq y ss'!$P$19)</f>
        <v>75486.953836994988</v>
      </c>
      <c r="K49" s="191">
        <f>IF(K48&gt;K51,0,'eoq y ss'!$P$19)</f>
        <v>0</v>
      </c>
      <c r="L49" s="191">
        <f>IF(L48&gt;L51,0,'eoq y ss'!$P$19)</f>
        <v>0</v>
      </c>
      <c r="M49" s="191">
        <f>IF(M48&gt;M51,0,'eoq y ss'!$P$19)</f>
        <v>0</v>
      </c>
    </row>
    <row r="50" spans="1:13" x14ac:dyDescent="0.25">
      <c r="A50" s="199" t="s">
        <v>184</v>
      </c>
      <c r="B50" s="191">
        <f>B48+B49</f>
        <v>137049.90767398998</v>
      </c>
      <c r="C50" s="191">
        <f>C48+C49</f>
        <v>123125.90767398998</v>
      </c>
      <c r="D50" s="191">
        <f>D48+D49</f>
        <v>109201.90767398998</v>
      </c>
      <c r="E50" s="191">
        <f>E48+E49</f>
        <v>95277.907673989976</v>
      </c>
      <c r="F50" s="191">
        <f t="shared" ref="F50" si="46">F48+F49</f>
        <v>79712.907673989976</v>
      </c>
      <c r="G50" s="191">
        <f t="shared" ref="G50" si="47">G48+G49</f>
        <v>64147.907673989976</v>
      </c>
      <c r="H50" s="191">
        <f t="shared" ref="H50" si="48">H48+H49</f>
        <v>48582.907673989976</v>
      </c>
      <c r="I50" s="191">
        <f t="shared" ref="I50" si="49">I48+I49</f>
        <v>33017.907673989976</v>
      </c>
      <c r="J50" s="191">
        <f t="shared" ref="J50" si="50">J48+J49</f>
        <v>92567.861510984963</v>
      </c>
      <c r="K50" s="191">
        <f t="shared" ref="K50" si="51">K48+K49</f>
        <v>76630.861510984963</v>
      </c>
      <c r="L50" s="191">
        <f t="shared" ref="L50" si="52">L48+L49</f>
        <v>60693.861510984963</v>
      </c>
      <c r="M50" s="198">
        <f t="shared" ref="M50" si="53">M48+M49</f>
        <v>44756.861510984963</v>
      </c>
    </row>
    <row r="51" spans="1:13" ht="15.75" thickBot="1" x14ac:dyDescent="0.3">
      <c r="A51" s="200" t="s">
        <v>189</v>
      </c>
      <c r="B51" s="201">
        <f>+'eoq y ss'!$C$54</f>
        <v>26380.926849947278</v>
      </c>
      <c r="C51" s="201">
        <f>+'eoq y ss'!$C$54</f>
        <v>26380.926849947278</v>
      </c>
      <c r="D51" s="201">
        <f>+'eoq y ss'!$C$54</f>
        <v>26380.926849947278</v>
      </c>
      <c r="E51" s="201">
        <f>+'eoq y ss'!$C$54</f>
        <v>26380.926849947278</v>
      </c>
      <c r="F51" s="201">
        <f>+'eoq y ss'!$C$54</f>
        <v>26380.926849947278</v>
      </c>
      <c r="G51" s="201">
        <f>+'eoq y ss'!$C$54</f>
        <v>26380.926849947278</v>
      </c>
      <c r="H51" s="201">
        <f>+'eoq y ss'!$C$54</f>
        <v>26380.926849947278</v>
      </c>
      <c r="I51" s="201">
        <f>+'eoq y ss'!$C$54</f>
        <v>26380.926849947278</v>
      </c>
      <c r="J51" s="201">
        <f>+'eoq y ss'!$C$54</f>
        <v>26380.926849947278</v>
      </c>
      <c r="K51" s="201">
        <f>+'eoq y ss'!$C$54</f>
        <v>26380.926849947278</v>
      </c>
      <c r="L51" s="201">
        <f>+'eoq y ss'!$C$54</f>
        <v>26380.926849947278</v>
      </c>
      <c r="M51" s="201">
        <f>+'eoq y ss'!$C$54</f>
        <v>26380.926849947278</v>
      </c>
    </row>
    <row r="52" spans="1:13" ht="15.75" thickBot="1" x14ac:dyDescent="0.3">
      <c r="A52" s="49"/>
      <c r="B52" s="76"/>
      <c r="C52" s="76"/>
      <c r="D52" s="76"/>
      <c r="E52" s="76"/>
      <c r="F52" s="76"/>
      <c r="G52" s="76"/>
      <c r="H52" s="76"/>
      <c r="I52" s="76"/>
      <c r="J52" s="76"/>
      <c r="K52" s="76"/>
      <c r="L52" s="76"/>
      <c r="M52" s="82"/>
    </row>
    <row r="53" spans="1:13" ht="15.75" thickBot="1" x14ac:dyDescent="0.3"/>
    <row r="54" spans="1:13" x14ac:dyDescent="0.25">
      <c r="A54" s="81" t="s">
        <v>180</v>
      </c>
      <c r="B54" s="212">
        <v>100005</v>
      </c>
      <c r="C54" s="243" t="s">
        <v>6</v>
      </c>
      <c r="D54" s="244"/>
      <c r="E54" s="244"/>
      <c r="F54" s="244"/>
      <c r="G54" s="74"/>
      <c r="H54" s="74"/>
      <c r="I54" s="74"/>
      <c r="J54" s="74"/>
      <c r="K54" s="74"/>
      <c r="L54" s="74"/>
      <c r="M54" s="75"/>
    </row>
    <row r="55" spans="1:13" x14ac:dyDescent="0.25">
      <c r="A55" s="240" t="s">
        <v>186</v>
      </c>
      <c r="B55" s="241"/>
      <c r="C55" s="207">
        <f>+'eoq y ss'!G32</f>
        <v>43320.878916106281</v>
      </c>
      <c r="D55" s="208"/>
      <c r="E55" s="208"/>
      <c r="F55" s="208"/>
      <c r="G55" s="2"/>
      <c r="H55" s="2"/>
      <c r="I55" s="2"/>
      <c r="J55" s="2"/>
      <c r="K55" s="2"/>
      <c r="L55" s="2"/>
      <c r="M55" s="48"/>
    </row>
    <row r="56" spans="1:13" x14ac:dyDescent="0.25">
      <c r="A56" s="240" t="s">
        <v>187</v>
      </c>
      <c r="B56" s="241"/>
      <c r="C56" s="241"/>
      <c r="D56" s="14">
        <v>0</v>
      </c>
      <c r="E56" s="208"/>
      <c r="F56" s="208"/>
      <c r="G56" s="2"/>
      <c r="H56" s="2"/>
      <c r="I56" s="2"/>
      <c r="J56" s="2"/>
      <c r="K56" s="2"/>
      <c r="L56" s="2"/>
      <c r="M56" s="48"/>
    </row>
    <row r="57" spans="1:13" ht="18.75" x14ac:dyDescent="0.3">
      <c r="A57" s="46"/>
      <c r="B57" s="242" t="s">
        <v>185</v>
      </c>
      <c r="C57" s="242"/>
      <c r="D57" s="242"/>
      <c r="E57" s="242"/>
      <c r="F57" s="242"/>
      <c r="G57" s="242"/>
      <c r="H57" s="242"/>
      <c r="I57" s="242"/>
      <c r="J57" s="242"/>
      <c r="K57" s="242"/>
      <c r="L57" s="242"/>
      <c r="M57" s="209"/>
    </row>
    <row r="58" spans="1:13" ht="15.75" thickBot="1" x14ac:dyDescent="0.3">
      <c r="A58" s="210" t="s">
        <v>179</v>
      </c>
      <c r="B58" s="192">
        <v>1</v>
      </c>
      <c r="C58" s="192">
        <v>2</v>
      </c>
      <c r="D58" s="192">
        <v>3</v>
      </c>
      <c r="E58" s="192">
        <v>4</v>
      </c>
      <c r="F58" s="192">
        <v>5</v>
      </c>
      <c r="G58" s="192">
        <v>6</v>
      </c>
      <c r="H58" s="192">
        <v>7</v>
      </c>
      <c r="I58" s="192">
        <v>8</v>
      </c>
      <c r="J58" s="192">
        <v>9</v>
      </c>
      <c r="K58" s="192">
        <v>10</v>
      </c>
      <c r="L58" s="192">
        <v>11</v>
      </c>
      <c r="M58" s="211">
        <v>12</v>
      </c>
    </row>
    <row r="59" spans="1:13" x14ac:dyDescent="0.25">
      <c r="A59" s="193" t="s">
        <v>188</v>
      </c>
      <c r="B59" s="194">
        <v>0</v>
      </c>
      <c r="C59" s="194">
        <f>+B63</f>
        <v>73708.757832212563</v>
      </c>
      <c r="D59" s="194">
        <f>+C63</f>
        <v>60775.757832212563</v>
      </c>
      <c r="E59" s="194">
        <f t="shared" ref="E59:M59" si="54">+D63</f>
        <v>47842.757832212563</v>
      </c>
      <c r="F59" s="194">
        <f t="shared" si="54"/>
        <v>34909.757832212563</v>
      </c>
      <c r="G59" s="194">
        <f t="shared" si="54"/>
        <v>65009.636748318844</v>
      </c>
      <c r="H59" s="194">
        <f t="shared" si="54"/>
        <v>51788.636748318844</v>
      </c>
      <c r="I59" s="194">
        <f t="shared" si="54"/>
        <v>38567.636748318844</v>
      </c>
      <c r="J59" s="194">
        <f t="shared" si="54"/>
        <v>68667.515664425126</v>
      </c>
      <c r="K59" s="194">
        <f t="shared" si="54"/>
        <v>56138.515664425126</v>
      </c>
      <c r="L59" s="194">
        <f t="shared" si="54"/>
        <v>43609.515664425126</v>
      </c>
      <c r="M59" s="195">
        <f t="shared" si="54"/>
        <v>31080.515664425126</v>
      </c>
    </row>
    <row r="60" spans="1:13" x14ac:dyDescent="0.25">
      <c r="A60" s="196" t="s">
        <v>181</v>
      </c>
      <c r="B60" s="146">
        <v>12933</v>
      </c>
      <c r="C60" s="146">
        <f>+B60</f>
        <v>12933</v>
      </c>
      <c r="D60" s="146">
        <f t="shared" ref="D60:E60" si="55">+C60</f>
        <v>12933</v>
      </c>
      <c r="E60" s="146">
        <f t="shared" si="55"/>
        <v>12933</v>
      </c>
      <c r="F60" s="191">
        <v>13221</v>
      </c>
      <c r="G60" s="191">
        <f>+F60</f>
        <v>13221</v>
      </c>
      <c r="H60" s="191">
        <f t="shared" ref="H60:I60" si="56">+G60</f>
        <v>13221</v>
      </c>
      <c r="I60" s="191">
        <f t="shared" si="56"/>
        <v>13221</v>
      </c>
      <c r="J60" s="146">
        <v>12529</v>
      </c>
      <c r="K60" s="146">
        <f>+J60</f>
        <v>12529</v>
      </c>
      <c r="L60" s="146">
        <f t="shared" ref="L60:M60" si="57">+K60</f>
        <v>12529</v>
      </c>
      <c r="M60" s="146">
        <f t="shared" si="57"/>
        <v>12529</v>
      </c>
    </row>
    <row r="61" spans="1:13" x14ac:dyDescent="0.25">
      <c r="A61" s="196" t="s">
        <v>182</v>
      </c>
      <c r="B61" s="146">
        <f>+B59-B60</f>
        <v>-12933</v>
      </c>
      <c r="C61" s="191">
        <f>+C59-C60</f>
        <v>60775.757832212563</v>
      </c>
      <c r="D61" s="191">
        <f>+D59-D60</f>
        <v>47842.757832212563</v>
      </c>
      <c r="E61" s="191">
        <f>+E59-E60</f>
        <v>34909.757832212563</v>
      </c>
      <c r="F61" s="191">
        <f>+F59-F60</f>
        <v>21688.757832212563</v>
      </c>
      <c r="G61" s="191">
        <f t="shared" ref="G61" si="58">+G59-G60</f>
        <v>51788.636748318844</v>
      </c>
      <c r="H61" s="191">
        <f t="shared" ref="H61" si="59">+H59-H60</f>
        <v>38567.636748318844</v>
      </c>
      <c r="I61" s="191">
        <f t="shared" ref="I61" si="60">+I59-I60</f>
        <v>25346.636748318844</v>
      </c>
      <c r="J61" s="191">
        <f t="shared" ref="J61" si="61">+J59-J60</f>
        <v>56138.515664425126</v>
      </c>
      <c r="K61" s="191">
        <f t="shared" ref="K61" si="62">+K59-K60</f>
        <v>43609.515664425126</v>
      </c>
      <c r="L61" s="191">
        <f t="shared" ref="L61" si="63">+L59-L60</f>
        <v>31080.515664425126</v>
      </c>
      <c r="M61" s="198">
        <f t="shared" ref="M61" si="64">+M59-M60</f>
        <v>18551.515664425126</v>
      </c>
    </row>
    <row r="62" spans="1:13" x14ac:dyDescent="0.25">
      <c r="A62" s="196" t="s">
        <v>183</v>
      </c>
      <c r="B62" s="191">
        <f>+'eoq y ss'!G32*2</f>
        <v>86641.757832212563</v>
      </c>
      <c r="C62" s="191">
        <f>IF(C61&gt;C64,0,'eoq y ss'!$G$32)</f>
        <v>0</v>
      </c>
      <c r="D62" s="191">
        <f>IF(D61&gt;D64,0,'eoq y ss'!$G$32)</f>
        <v>0</v>
      </c>
      <c r="E62" s="191">
        <f>IF(E61&gt;E64,0,'eoq y ss'!$G$32)</f>
        <v>0</v>
      </c>
      <c r="F62" s="191">
        <f>IF(F61&gt;F64,0,'eoq y ss'!$G$32)</f>
        <v>43320.878916106281</v>
      </c>
      <c r="G62" s="191">
        <f>IF(G61&gt;G64,0,'eoq y ss'!$G$32)</f>
        <v>0</v>
      </c>
      <c r="H62" s="191">
        <f>IF(H61&gt;H64,0,'eoq y ss'!$G$32)</f>
        <v>0</v>
      </c>
      <c r="I62" s="191">
        <f>IF(I61&gt;I64,0,'eoq y ss'!$G$32)</f>
        <v>43320.878916106281</v>
      </c>
      <c r="J62" s="191">
        <f>IF(J61&gt;J64,0,'eoq y ss'!$G$32)</f>
        <v>0</v>
      </c>
      <c r="K62" s="191">
        <f>IF(K61&gt;K64,0,'eoq y ss'!$G$32)</f>
        <v>0</v>
      </c>
      <c r="L62" s="191">
        <f>IF(L61&gt;L64,0,'eoq y ss'!$G$32)</f>
        <v>0</v>
      </c>
      <c r="M62" s="191">
        <f>IF(M61&gt;M64,0,'eoq y ss'!$G$32)</f>
        <v>43320.878916106281</v>
      </c>
    </row>
    <row r="63" spans="1:13" x14ac:dyDescent="0.25">
      <c r="A63" s="199" t="s">
        <v>184</v>
      </c>
      <c r="B63" s="191">
        <f>B61+B62</f>
        <v>73708.757832212563</v>
      </c>
      <c r="C63" s="191">
        <f>C61+C62</f>
        <v>60775.757832212563</v>
      </c>
      <c r="D63" s="191">
        <f>D61+D62</f>
        <v>47842.757832212563</v>
      </c>
      <c r="E63" s="191">
        <f>E61+E62</f>
        <v>34909.757832212563</v>
      </c>
      <c r="F63" s="191">
        <f t="shared" ref="F63" si="65">F61+F62</f>
        <v>65009.636748318844</v>
      </c>
      <c r="G63" s="191">
        <f t="shared" ref="G63" si="66">G61+G62</f>
        <v>51788.636748318844</v>
      </c>
      <c r="H63" s="191">
        <f t="shared" ref="H63" si="67">H61+H62</f>
        <v>38567.636748318844</v>
      </c>
      <c r="I63" s="191">
        <f t="shared" ref="I63" si="68">I61+I62</f>
        <v>68667.515664425126</v>
      </c>
      <c r="J63" s="191">
        <f t="shared" ref="J63" si="69">J61+J62</f>
        <v>56138.515664425126</v>
      </c>
      <c r="K63" s="191">
        <f t="shared" ref="K63" si="70">K61+K62</f>
        <v>43609.515664425126</v>
      </c>
      <c r="L63" s="191">
        <f t="shared" ref="L63" si="71">L61+L62</f>
        <v>31080.515664425126</v>
      </c>
      <c r="M63" s="198">
        <f t="shared" ref="M63" si="72">M61+M62</f>
        <v>61872.394580531407</v>
      </c>
    </row>
    <row r="64" spans="1:13" ht="15.75" thickBot="1" x14ac:dyDescent="0.3">
      <c r="A64" s="200" t="s">
        <v>189</v>
      </c>
      <c r="B64" s="201">
        <f>+'eoq y ss'!$C$54</f>
        <v>26380.926849947278</v>
      </c>
      <c r="C64" s="201">
        <f>+'eoq y ss'!$C$54</f>
        <v>26380.926849947278</v>
      </c>
      <c r="D64" s="201">
        <f>+'eoq y ss'!$C$54</f>
        <v>26380.926849947278</v>
      </c>
      <c r="E64" s="201">
        <f>+'eoq y ss'!$C$54</f>
        <v>26380.926849947278</v>
      </c>
      <c r="F64" s="201">
        <f>+'eoq y ss'!$C$54</f>
        <v>26380.926849947278</v>
      </c>
      <c r="G64" s="201">
        <f>+'eoq y ss'!$C$54</f>
        <v>26380.926849947278</v>
      </c>
      <c r="H64" s="201">
        <f>+'eoq y ss'!$C$54</f>
        <v>26380.926849947278</v>
      </c>
      <c r="I64" s="201">
        <f>+'eoq y ss'!$C$54</f>
        <v>26380.926849947278</v>
      </c>
      <c r="J64" s="201">
        <f>+'eoq y ss'!$C$54</f>
        <v>26380.926849947278</v>
      </c>
      <c r="K64" s="201">
        <f>+'eoq y ss'!$C$54</f>
        <v>26380.926849947278</v>
      </c>
      <c r="L64" s="201">
        <f>+'eoq y ss'!$C$54</f>
        <v>26380.926849947278</v>
      </c>
      <c r="M64" s="201">
        <f>+'eoq y ss'!$C$54</f>
        <v>26380.926849947278</v>
      </c>
    </row>
    <row r="65" spans="1:13" ht="15.75" thickBot="1" x14ac:dyDescent="0.3">
      <c r="A65" s="49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82"/>
    </row>
    <row r="66" spans="1:13" ht="15.75" thickBot="1" x14ac:dyDescent="0.3"/>
    <row r="67" spans="1:13" x14ac:dyDescent="0.25">
      <c r="A67" s="81" t="s">
        <v>180</v>
      </c>
      <c r="B67" s="212">
        <v>100006</v>
      </c>
      <c r="C67" s="243" t="s">
        <v>122</v>
      </c>
      <c r="D67" s="244"/>
      <c r="E67" s="244"/>
      <c r="F67" s="244"/>
      <c r="G67" s="74"/>
      <c r="H67" s="74"/>
      <c r="I67" s="74"/>
      <c r="J67" s="74"/>
      <c r="K67" s="74"/>
      <c r="L67" s="74"/>
      <c r="M67" s="75"/>
    </row>
    <row r="68" spans="1:13" x14ac:dyDescent="0.25">
      <c r="A68" s="240" t="s">
        <v>186</v>
      </c>
      <c r="B68" s="241"/>
      <c r="C68" s="207">
        <f>+'eoq y ss'!P33</f>
        <v>45815.455271206323</v>
      </c>
      <c r="D68" s="208"/>
      <c r="E68" s="208"/>
      <c r="F68" s="208"/>
      <c r="G68" s="2"/>
      <c r="H68" s="2"/>
      <c r="I68" s="2"/>
      <c r="J68" s="2"/>
      <c r="K68" s="2"/>
      <c r="L68" s="2"/>
      <c r="M68" s="48"/>
    </row>
    <row r="69" spans="1:13" x14ac:dyDescent="0.25">
      <c r="A69" s="240" t="s">
        <v>187</v>
      </c>
      <c r="B69" s="241"/>
      <c r="C69" s="241"/>
      <c r="D69" s="14">
        <v>0</v>
      </c>
      <c r="E69" s="208"/>
      <c r="F69" s="208"/>
      <c r="G69" s="2"/>
      <c r="H69" s="2"/>
      <c r="I69" s="2"/>
      <c r="J69" s="2"/>
      <c r="K69" s="2"/>
      <c r="L69" s="2"/>
      <c r="M69" s="48"/>
    </row>
    <row r="70" spans="1:13" ht="18.75" x14ac:dyDescent="0.3">
      <c r="A70" s="46"/>
      <c r="B70" s="242" t="s">
        <v>185</v>
      </c>
      <c r="C70" s="242"/>
      <c r="D70" s="242"/>
      <c r="E70" s="242"/>
      <c r="F70" s="242"/>
      <c r="G70" s="242"/>
      <c r="H70" s="242"/>
      <c r="I70" s="242"/>
      <c r="J70" s="242"/>
      <c r="K70" s="242"/>
      <c r="L70" s="242"/>
      <c r="M70" s="209"/>
    </row>
    <row r="71" spans="1:13" ht="15.75" thickBot="1" x14ac:dyDescent="0.3">
      <c r="A71" s="210" t="s">
        <v>179</v>
      </c>
      <c r="B71" s="192">
        <v>1</v>
      </c>
      <c r="C71" s="192">
        <v>2</v>
      </c>
      <c r="D71" s="192">
        <v>3</v>
      </c>
      <c r="E71" s="192">
        <v>4</v>
      </c>
      <c r="F71" s="192">
        <v>5</v>
      </c>
      <c r="G71" s="192">
        <v>6</v>
      </c>
      <c r="H71" s="192">
        <v>7</v>
      </c>
      <c r="I71" s="192">
        <v>8</v>
      </c>
      <c r="J71" s="192">
        <v>9</v>
      </c>
      <c r="K71" s="192">
        <v>10</v>
      </c>
      <c r="L71" s="192">
        <v>11</v>
      </c>
      <c r="M71" s="211">
        <v>12</v>
      </c>
    </row>
    <row r="72" spans="1:13" x14ac:dyDescent="0.25">
      <c r="A72" s="193" t="s">
        <v>188</v>
      </c>
      <c r="B72" s="194">
        <v>0</v>
      </c>
      <c r="C72" s="194">
        <f>+B76</f>
        <v>78337.910542412646</v>
      </c>
      <c r="D72" s="194">
        <f>+C76</f>
        <v>65044.910542412646</v>
      </c>
      <c r="E72" s="194">
        <f t="shared" ref="E72:M72" si="73">+D76</f>
        <v>51751.910542412646</v>
      </c>
      <c r="F72" s="194">
        <f t="shared" si="73"/>
        <v>38458.910542412646</v>
      </c>
      <c r="G72" s="194">
        <f t="shared" si="73"/>
        <v>24485.910542412646</v>
      </c>
      <c r="H72" s="194">
        <f t="shared" si="73"/>
        <v>56328.36581361897</v>
      </c>
      <c r="I72" s="194">
        <f t="shared" si="73"/>
        <v>42355.36581361897</v>
      </c>
      <c r="J72" s="194">
        <f t="shared" si="73"/>
        <v>28382.36581361897</v>
      </c>
      <c r="K72" s="194">
        <f t="shared" si="73"/>
        <v>60018.821084825293</v>
      </c>
      <c r="L72" s="194">
        <f t="shared" si="73"/>
        <v>45839.821084825293</v>
      </c>
      <c r="M72" s="195">
        <f t="shared" si="73"/>
        <v>31660.821084825293</v>
      </c>
    </row>
    <row r="73" spans="1:13" x14ac:dyDescent="0.25">
      <c r="A73" s="196" t="s">
        <v>181</v>
      </c>
      <c r="B73" s="146">
        <v>13293</v>
      </c>
      <c r="C73" s="146">
        <f>+B73</f>
        <v>13293</v>
      </c>
      <c r="D73" s="146">
        <f t="shared" ref="D73:E73" si="74">+C73</f>
        <v>13293</v>
      </c>
      <c r="E73" s="146">
        <f t="shared" si="74"/>
        <v>13293</v>
      </c>
      <c r="F73" s="191">
        <v>13973</v>
      </c>
      <c r="G73" s="191">
        <f>+F73</f>
        <v>13973</v>
      </c>
      <c r="H73" s="191">
        <f t="shared" ref="H73:I73" si="75">+G73</f>
        <v>13973</v>
      </c>
      <c r="I73" s="191">
        <f t="shared" si="75"/>
        <v>13973</v>
      </c>
      <c r="J73" s="146">
        <v>14179</v>
      </c>
      <c r="K73" s="146">
        <f>+J73</f>
        <v>14179</v>
      </c>
      <c r="L73" s="146">
        <f t="shared" ref="L73:M73" si="76">+K73</f>
        <v>14179</v>
      </c>
      <c r="M73" s="146">
        <f t="shared" si="76"/>
        <v>14179</v>
      </c>
    </row>
    <row r="74" spans="1:13" x14ac:dyDescent="0.25">
      <c r="A74" s="196" t="s">
        <v>182</v>
      </c>
      <c r="B74" s="146">
        <f>+B72-B73</f>
        <v>-13293</v>
      </c>
      <c r="C74" s="191">
        <f>+C72-C73</f>
        <v>65044.910542412646</v>
      </c>
      <c r="D74" s="191">
        <f>+D72-D73</f>
        <v>51751.910542412646</v>
      </c>
      <c r="E74" s="191">
        <f>+E72-E73</f>
        <v>38458.910542412646</v>
      </c>
      <c r="F74" s="191">
        <f>+F72-F73</f>
        <v>24485.910542412646</v>
      </c>
      <c r="G74" s="191">
        <f t="shared" ref="G74" si="77">+G72-G73</f>
        <v>10512.910542412646</v>
      </c>
      <c r="H74" s="191">
        <f t="shared" ref="H74" si="78">+H72-H73</f>
        <v>42355.36581361897</v>
      </c>
      <c r="I74" s="191">
        <f t="shared" ref="I74" si="79">+I72-I73</f>
        <v>28382.36581361897</v>
      </c>
      <c r="J74" s="191">
        <f t="shared" ref="J74" si="80">+J72-J73</f>
        <v>14203.36581361897</v>
      </c>
      <c r="K74" s="191">
        <f t="shared" ref="K74" si="81">+K72-K73</f>
        <v>45839.821084825293</v>
      </c>
      <c r="L74" s="191">
        <f t="shared" ref="L74" si="82">+L72-L73</f>
        <v>31660.821084825293</v>
      </c>
      <c r="M74" s="198">
        <f t="shared" ref="M74" si="83">+M72-M73</f>
        <v>17481.821084825293</v>
      </c>
    </row>
    <row r="75" spans="1:13" x14ac:dyDescent="0.25">
      <c r="A75" s="196" t="s">
        <v>183</v>
      </c>
      <c r="B75" s="191">
        <f>+'eoq y ss'!P33*2</f>
        <v>91630.910542412646</v>
      </c>
      <c r="C75" s="191">
        <f>IF(C74&gt;C77,0,'eoq y ss'!$P$33)</f>
        <v>0</v>
      </c>
      <c r="D75" s="191">
        <f>IF(D74&gt;D77,0,'eoq y ss'!$P$33)</f>
        <v>0</v>
      </c>
      <c r="E75" s="191">
        <f>IF(E74&gt;E77,0,'eoq y ss'!$P$33)</f>
        <v>0</v>
      </c>
      <c r="F75" s="191">
        <f>IF(F74&gt;F77,0,'eoq y ss'!$P$33)</f>
        <v>0</v>
      </c>
      <c r="G75" s="191">
        <f>IF(G74&gt;G77,0,'eoq y ss'!$P$33)</f>
        <v>45815.455271206323</v>
      </c>
      <c r="H75" s="191">
        <f>IF(H74&gt;H77,0,'eoq y ss'!$P$33)</f>
        <v>0</v>
      </c>
      <c r="I75" s="191">
        <f>IF(I74&gt;I77,0,'eoq y ss'!$P$33)</f>
        <v>0</v>
      </c>
      <c r="J75" s="191">
        <f>IF(J74&gt;J77,0,'eoq y ss'!$P$33)</f>
        <v>45815.455271206323</v>
      </c>
      <c r="K75" s="191">
        <f>IF(K74&gt;K77,0,'eoq y ss'!$P$33)</f>
        <v>0</v>
      </c>
      <c r="L75" s="191">
        <f>IF(L74&gt;L77,0,'eoq y ss'!$P$33)</f>
        <v>0</v>
      </c>
      <c r="M75" s="191">
        <f>IF(M74&gt;M77,0,'eoq y ss'!$P$33)</f>
        <v>0</v>
      </c>
    </row>
    <row r="76" spans="1:13" x14ac:dyDescent="0.25">
      <c r="A76" s="199" t="s">
        <v>184</v>
      </c>
      <c r="B76" s="191">
        <f>B74+B75</f>
        <v>78337.910542412646</v>
      </c>
      <c r="C76" s="191">
        <f>C74+C75</f>
        <v>65044.910542412646</v>
      </c>
      <c r="D76" s="191">
        <f>D74+D75</f>
        <v>51751.910542412646</v>
      </c>
      <c r="E76" s="191">
        <f>E74+E75</f>
        <v>38458.910542412646</v>
      </c>
      <c r="F76" s="191">
        <f t="shared" ref="F76" si="84">F74+F75</f>
        <v>24485.910542412646</v>
      </c>
      <c r="G76" s="191">
        <f t="shared" ref="G76" si="85">G74+G75</f>
        <v>56328.36581361897</v>
      </c>
      <c r="H76" s="191">
        <f t="shared" ref="H76" si="86">H74+H75</f>
        <v>42355.36581361897</v>
      </c>
      <c r="I76" s="191">
        <f t="shared" ref="I76" si="87">I74+I75</f>
        <v>28382.36581361897</v>
      </c>
      <c r="J76" s="191">
        <f t="shared" ref="J76" si="88">J74+J75</f>
        <v>60018.821084825293</v>
      </c>
      <c r="K76" s="191">
        <f t="shared" ref="K76" si="89">K74+K75</f>
        <v>45839.821084825293</v>
      </c>
      <c r="L76" s="191">
        <f t="shared" ref="L76" si="90">L74+L75</f>
        <v>31660.821084825293</v>
      </c>
      <c r="M76" s="198">
        <f t="shared" ref="M76" si="91">M74+M75</f>
        <v>17481.821084825293</v>
      </c>
    </row>
    <row r="77" spans="1:13" ht="15.75" thickBot="1" x14ac:dyDescent="0.3">
      <c r="A77" s="200" t="s">
        <v>189</v>
      </c>
      <c r="B77" s="201">
        <f>+'eoq y ss'!$L$54</f>
        <v>14576.777372971577</v>
      </c>
      <c r="C77" s="201">
        <f>+'eoq y ss'!$L$54</f>
        <v>14576.777372971577</v>
      </c>
      <c r="D77" s="201">
        <f>+'eoq y ss'!$L$54</f>
        <v>14576.777372971577</v>
      </c>
      <c r="E77" s="201">
        <f>+'eoq y ss'!$L$54</f>
        <v>14576.777372971577</v>
      </c>
      <c r="F77" s="201">
        <f>+'eoq y ss'!$L$54</f>
        <v>14576.777372971577</v>
      </c>
      <c r="G77" s="201">
        <f>+'eoq y ss'!$L$54</f>
        <v>14576.777372971577</v>
      </c>
      <c r="H77" s="201">
        <f>+'eoq y ss'!$L$54</f>
        <v>14576.777372971577</v>
      </c>
      <c r="I77" s="201">
        <f>+'eoq y ss'!$L$54</f>
        <v>14576.777372971577</v>
      </c>
      <c r="J77" s="201">
        <f>+'eoq y ss'!$L$54</f>
        <v>14576.777372971577</v>
      </c>
      <c r="K77" s="201">
        <f>+'eoq y ss'!$L$54</f>
        <v>14576.777372971577</v>
      </c>
      <c r="L77" s="201">
        <f>+'eoq y ss'!$L$54</f>
        <v>14576.777372971577</v>
      </c>
      <c r="M77" s="201">
        <f>+'eoq y ss'!$L$54</f>
        <v>14576.777372971577</v>
      </c>
    </row>
    <row r="78" spans="1:13" ht="15.75" thickBot="1" x14ac:dyDescent="0.3">
      <c r="A78" s="49"/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82"/>
    </row>
  </sheetData>
  <mergeCells count="25">
    <mergeCell ref="A43:C43"/>
    <mergeCell ref="C16:F16"/>
    <mergeCell ref="A17:B17"/>
    <mergeCell ref="A18:C18"/>
    <mergeCell ref="B19:L19"/>
    <mergeCell ref="C28:F28"/>
    <mergeCell ref="A29:B29"/>
    <mergeCell ref="A30:C30"/>
    <mergeCell ref="B31:L31"/>
    <mergeCell ref="A1:M1"/>
    <mergeCell ref="C41:F41"/>
    <mergeCell ref="A42:B42"/>
    <mergeCell ref="C3:F3"/>
    <mergeCell ref="B6:L6"/>
    <mergeCell ref="A4:B4"/>
    <mergeCell ref="A5:C5"/>
    <mergeCell ref="A68:B68"/>
    <mergeCell ref="A69:C69"/>
    <mergeCell ref="B70:L70"/>
    <mergeCell ref="B44:L44"/>
    <mergeCell ref="C54:F54"/>
    <mergeCell ref="A55:B55"/>
    <mergeCell ref="A56:C56"/>
    <mergeCell ref="B57:L57"/>
    <mergeCell ref="C67:F67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workbookViewId="0">
      <selection activeCell="M3" sqref="M3"/>
    </sheetView>
  </sheetViews>
  <sheetFormatPr baseColWidth="10" defaultRowHeight="15" x14ac:dyDescent="0.25"/>
  <cols>
    <col min="1" max="1" width="19.5703125" style="4" customWidth="1"/>
    <col min="2" max="2" width="12.5703125" style="4" bestFit="1" customWidth="1"/>
    <col min="3" max="3" width="11.85546875" style="4" customWidth="1"/>
    <col min="4" max="6" width="16.85546875" style="4" bestFit="1" customWidth="1"/>
    <col min="7" max="16384" width="11.42578125" style="4"/>
  </cols>
  <sheetData>
    <row r="1" spans="1:14" ht="26.25" x14ac:dyDescent="0.4">
      <c r="A1" s="245" t="s">
        <v>178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14" ht="27" thickBot="1" x14ac:dyDescent="0.45">
      <c r="A2" s="245" t="s">
        <v>191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4" x14ac:dyDescent="0.25">
      <c r="A3" s="205"/>
      <c r="B3" s="206"/>
      <c r="C3" s="206"/>
      <c r="D3" s="206"/>
      <c r="E3" s="206"/>
      <c r="F3" s="206"/>
      <c r="G3" s="74"/>
      <c r="H3" s="74"/>
      <c r="I3" s="74"/>
      <c r="J3" s="74"/>
      <c r="K3" s="74"/>
      <c r="L3" s="74"/>
      <c r="M3" s="75"/>
    </row>
    <row r="4" spans="1:14" x14ac:dyDescent="0.25">
      <c r="A4" s="46" t="s">
        <v>180</v>
      </c>
      <c r="B4" s="189">
        <v>100001</v>
      </c>
      <c r="C4" s="246" t="s">
        <v>49</v>
      </c>
      <c r="D4" s="247"/>
      <c r="E4" s="247"/>
      <c r="F4" s="247"/>
      <c r="G4" s="2"/>
      <c r="H4" s="2"/>
      <c r="I4" s="2"/>
      <c r="J4" s="2"/>
      <c r="K4" s="2"/>
      <c r="L4" s="2"/>
      <c r="M4" s="48"/>
    </row>
    <row r="5" spans="1:14" x14ac:dyDescent="0.25">
      <c r="A5" s="240" t="s">
        <v>186</v>
      </c>
      <c r="B5" s="241"/>
      <c r="C5" s="207">
        <f>+D12</f>
        <v>145051.03865145415</v>
      </c>
      <c r="D5" s="208"/>
      <c r="E5" s="208"/>
      <c r="F5" s="208"/>
      <c r="G5" s="2"/>
      <c r="H5" s="2"/>
      <c r="I5" s="2"/>
      <c r="J5" s="2"/>
      <c r="K5" s="2"/>
      <c r="L5" s="2"/>
      <c r="M5" s="48"/>
    </row>
    <row r="6" spans="1:14" x14ac:dyDescent="0.25">
      <c r="A6" s="240" t="s">
        <v>187</v>
      </c>
      <c r="B6" s="241"/>
      <c r="C6" s="241"/>
      <c r="D6" s="14">
        <v>0</v>
      </c>
      <c r="E6" s="208"/>
      <c r="F6" s="208"/>
      <c r="G6" s="2"/>
      <c r="H6" s="2"/>
      <c r="I6" s="2"/>
      <c r="J6" s="2"/>
      <c r="K6" s="2"/>
      <c r="L6" s="2"/>
      <c r="M6" s="48"/>
    </row>
    <row r="7" spans="1:14" ht="18.75" x14ac:dyDescent="0.3">
      <c r="A7" s="46"/>
      <c r="B7" s="242" t="s">
        <v>190</v>
      </c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09"/>
    </row>
    <row r="8" spans="1:14" s="131" customFormat="1" ht="15.75" thickBot="1" x14ac:dyDescent="0.3">
      <c r="A8" s="210" t="s">
        <v>179</v>
      </c>
      <c r="B8" s="192">
        <v>1</v>
      </c>
      <c r="C8" s="192">
        <f>+B8+1</f>
        <v>2</v>
      </c>
      <c r="D8" s="192">
        <f t="shared" ref="D8:M8" si="0">+C8+1</f>
        <v>3</v>
      </c>
      <c r="E8" s="192">
        <f t="shared" si="0"/>
        <v>4</v>
      </c>
      <c r="F8" s="192">
        <f t="shared" si="0"/>
        <v>5</v>
      </c>
      <c r="G8" s="192">
        <f t="shared" si="0"/>
        <v>6</v>
      </c>
      <c r="H8" s="192">
        <f t="shared" si="0"/>
        <v>7</v>
      </c>
      <c r="I8" s="192">
        <f t="shared" si="0"/>
        <v>8</v>
      </c>
      <c r="J8" s="192">
        <f t="shared" si="0"/>
        <v>9</v>
      </c>
      <c r="K8" s="192">
        <f t="shared" si="0"/>
        <v>10</v>
      </c>
      <c r="L8" s="192">
        <f t="shared" si="0"/>
        <v>11</v>
      </c>
      <c r="M8" s="192">
        <f t="shared" si="0"/>
        <v>12</v>
      </c>
      <c r="N8" s="131" t="s">
        <v>145</v>
      </c>
    </row>
    <row r="9" spans="1:14" s="13" customFormat="1" x14ac:dyDescent="0.25">
      <c r="A9" s="193" t="s">
        <v>188</v>
      </c>
      <c r="B9" s="194">
        <v>0</v>
      </c>
      <c r="C9" s="194">
        <f>+B13</f>
        <v>132619.13457489226</v>
      </c>
      <c r="D9" s="194">
        <f>+C13</f>
        <v>111770.67897994589</v>
      </c>
      <c r="E9" s="194">
        <f t="shared" ref="E9:M9" si="1">+D13</f>
        <v>87104.12859003045</v>
      </c>
      <c r="F9" s="194">
        <f t="shared" si="1"/>
        <v>72871.118587741221</v>
      </c>
      <c r="G9" s="194">
        <f t="shared" si="1"/>
        <v>57073.070914036391</v>
      </c>
      <c r="H9" s="194">
        <f t="shared" si="1"/>
        <v>36579.910226084699</v>
      </c>
      <c r="I9" s="194">
        <f t="shared" si="1"/>
        <v>12956.674195301806</v>
      </c>
      <c r="J9" s="194">
        <f t="shared" si="1"/>
        <v>-12231.599506896688</v>
      </c>
      <c r="K9" s="194">
        <f t="shared" si="1"/>
        <v>102936.05242811213</v>
      </c>
      <c r="L9" s="194">
        <f t="shared" si="1"/>
        <v>69922.590368835576</v>
      </c>
      <c r="M9" s="214">
        <f t="shared" si="1"/>
        <v>35344.090638143418</v>
      </c>
    </row>
    <row r="10" spans="1:14" x14ac:dyDescent="0.25">
      <c r="A10" s="196" t="s">
        <v>181</v>
      </c>
      <c r="B10" s="146">
        <f>+'PRONOSTICO COLOMBINA'!K3</f>
        <v>157482.94272801603</v>
      </c>
      <c r="C10" s="146">
        <f>+'PRONOSTICO COLOMBINA'!L3</f>
        <v>165899.49424640051</v>
      </c>
      <c r="D10" s="146">
        <f>+'PRONOSTICO COLOMBINA'!M3</f>
        <v>169717.58904136959</v>
      </c>
      <c r="E10" s="146">
        <f>+'PRONOSTICO COLOMBINA'!N3</f>
        <v>159284.04865374338</v>
      </c>
      <c r="F10" s="146">
        <f>+'PRONOSTICO COLOMBINA'!O3</f>
        <v>160849.08632515898</v>
      </c>
      <c r="G10" s="146">
        <f>+'PRONOSTICO COLOMBINA'!P3</f>
        <v>165544.19933940584</v>
      </c>
      <c r="H10" s="146">
        <f>+'PRONOSTICO COLOMBINA'!Q3</f>
        <v>168674.27468223704</v>
      </c>
      <c r="I10" s="146">
        <f>+'PRONOSTICO COLOMBINA'!R3</f>
        <v>170239.31235365264</v>
      </c>
      <c r="J10" s="146">
        <f>+'PRONOSTICO COLOMBINA'!S3</f>
        <v>174934.42536789947</v>
      </c>
      <c r="K10" s="146">
        <f>+'PRONOSTICO COLOMBINA'!T3</f>
        <v>178064.5007107307</v>
      </c>
      <c r="L10" s="146">
        <f>+'PRONOSTICO COLOMBINA'!U3</f>
        <v>179629.5383821463</v>
      </c>
      <c r="M10" s="146">
        <f>+'PRONOSTICO COLOMBINA'!V3</f>
        <v>184324.65139639316</v>
      </c>
    </row>
    <row r="11" spans="1:14" x14ac:dyDescent="0.25">
      <c r="A11" s="196" t="s">
        <v>182</v>
      </c>
      <c r="B11" s="146">
        <f>+B9-B10</f>
        <v>-157482.94272801603</v>
      </c>
      <c r="C11" s="146">
        <f>+C9-C10</f>
        <v>-33280.359671508253</v>
      </c>
      <c r="D11" s="146">
        <f t="shared" ref="D11" si="2">+D9-D10</f>
        <v>-57946.910061423696</v>
      </c>
      <c r="E11" s="146">
        <f t="shared" ref="E11" si="3">+E9-E10</f>
        <v>-72179.920063712925</v>
      </c>
      <c r="F11" s="146">
        <f t="shared" ref="F11" si="4">+F9-F10</f>
        <v>-87977.967737417755</v>
      </c>
      <c r="G11" s="146">
        <f t="shared" ref="G11" si="5">+G9-G10</f>
        <v>-108471.12842536945</v>
      </c>
      <c r="H11" s="146">
        <f t="shared" ref="H11" si="6">+H9-H10</f>
        <v>-132094.36445615234</v>
      </c>
      <c r="I11" s="146">
        <f t="shared" ref="I11" si="7">+I9-I10</f>
        <v>-157282.63815835083</v>
      </c>
      <c r="J11" s="146">
        <f t="shared" ref="J11" si="8">+J9-J10</f>
        <v>-187166.02487479616</v>
      </c>
      <c r="K11" s="146">
        <f t="shared" ref="K11" si="9">+K9-K10</f>
        <v>-75128.44828261857</v>
      </c>
      <c r="L11" s="146">
        <f t="shared" ref="L11" si="10">+L9-L10</f>
        <v>-109706.94801331073</v>
      </c>
      <c r="M11" s="146">
        <f t="shared" ref="M11" si="11">+M9-M10</f>
        <v>-148980.56075824975</v>
      </c>
    </row>
    <row r="12" spans="1:14" x14ac:dyDescent="0.25">
      <c r="A12" s="196" t="s">
        <v>183</v>
      </c>
      <c r="B12" s="191">
        <f>+'eoq y ss'!G5*2</f>
        <v>290102.07730290829</v>
      </c>
      <c r="C12" s="191">
        <f>IF(C11&gt;C14,0,'eoq y ss'!$G$5)</f>
        <v>145051.03865145415</v>
      </c>
      <c r="D12" s="191">
        <f>IF(D11&gt;D14,0,'eoq y ss'!$G$5)</f>
        <v>145051.03865145415</v>
      </c>
      <c r="E12" s="191">
        <f>IF(E11&gt;E14,0,'eoq y ss'!$G$5)</f>
        <v>145051.03865145415</v>
      </c>
      <c r="F12" s="191">
        <f>IF(F11&gt;F14,0,'eoq y ss'!$G$5)</f>
        <v>145051.03865145415</v>
      </c>
      <c r="G12" s="191">
        <f>IF(G11&gt;G14,0,'eoq y ss'!$G$5)</f>
        <v>145051.03865145415</v>
      </c>
      <c r="H12" s="191">
        <f>IF(H11&gt;H14,0,'eoq y ss'!$G$5)</f>
        <v>145051.03865145415</v>
      </c>
      <c r="I12" s="191">
        <f>IF(I11&gt;I14,0,'eoq y ss'!$G$5)</f>
        <v>145051.03865145415</v>
      </c>
      <c r="J12" s="191">
        <f>IF(J11&gt;J14,0,'eoq y ss'!$G$5)*2</f>
        <v>290102.07730290829</v>
      </c>
      <c r="K12" s="191">
        <f>IF(K11&gt;K14,0,'eoq y ss'!$G$5)</f>
        <v>145051.03865145415</v>
      </c>
      <c r="L12" s="191">
        <f>IF(L11&gt;L14,0,'eoq y ss'!$G$5)</f>
        <v>145051.03865145415</v>
      </c>
      <c r="M12" s="191">
        <f>IF(M11&gt;M14,0,'eoq y ss'!$G$5)</f>
        <v>145051.03865145415</v>
      </c>
    </row>
    <row r="13" spans="1:14" s="13" customFormat="1" x14ac:dyDescent="0.25">
      <c r="A13" s="203" t="s">
        <v>184</v>
      </c>
      <c r="B13" s="191">
        <f>B11+B12</f>
        <v>132619.13457489226</v>
      </c>
      <c r="C13" s="191">
        <f>C11+C12</f>
        <v>111770.67897994589</v>
      </c>
      <c r="D13" s="191">
        <f t="shared" ref="D13:M13" si="12">D11+D12</f>
        <v>87104.12859003045</v>
      </c>
      <c r="E13" s="191">
        <f t="shared" si="12"/>
        <v>72871.118587741221</v>
      </c>
      <c r="F13" s="191">
        <f t="shared" si="12"/>
        <v>57073.070914036391</v>
      </c>
      <c r="G13" s="191">
        <f t="shared" si="12"/>
        <v>36579.910226084699</v>
      </c>
      <c r="H13" s="191">
        <f t="shared" si="12"/>
        <v>12956.674195301806</v>
      </c>
      <c r="I13" s="191">
        <f t="shared" si="12"/>
        <v>-12231.599506896688</v>
      </c>
      <c r="J13" s="191">
        <f t="shared" si="12"/>
        <v>102936.05242811213</v>
      </c>
      <c r="K13" s="191">
        <f t="shared" si="12"/>
        <v>69922.590368835576</v>
      </c>
      <c r="L13" s="191">
        <f t="shared" si="12"/>
        <v>35344.090638143418</v>
      </c>
      <c r="M13" s="191">
        <f t="shared" si="12"/>
        <v>-3929.5221067956008</v>
      </c>
    </row>
    <row r="14" spans="1:14" s="13" customFormat="1" ht="15.75" thickBot="1" x14ac:dyDescent="0.3">
      <c r="A14" s="204" t="s">
        <v>189</v>
      </c>
      <c r="B14" s="201">
        <f>+'eoq y ss'!$C$48</f>
        <v>45095.601452901334</v>
      </c>
      <c r="C14" s="201">
        <f>+'eoq y ss'!$C$48</f>
        <v>45095.601452901334</v>
      </c>
      <c r="D14" s="201">
        <f>+'eoq y ss'!$C$48</f>
        <v>45095.601452901334</v>
      </c>
      <c r="E14" s="201">
        <f>+'eoq y ss'!$C$48</f>
        <v>45095.601452901334</v>
      </c>
      <c r="F14" s="201">
        <f>+'eoq y ss'!$C$48</f>
        <v>45095.601452901334</v>
      </c>
      <c r="G14" s="201">
        <f>+'eoq y ss'!$C$48</f>
        <v>45095.601452901334</v>
      </c>
      <c r="H14" s="201">
        <f>+'eoq y ss'!$C$48</f>
        <v>45095.601452901334</v>
      </c>
      <c r="I14" s="201">
        <f>+'eoq y ss'!$C$48</f>
        <v>45095.601452901334</v>
      </c>
      <c r="J14" s="201">
        <f>+'eoq y ss'!$C$48</f>
        <v>45095.601452901334</v>
      </c>
      <c r="K14" s="201">
        <f>+'eoq y ss'!$C$48</f>
        <v>45095.601452901334</v>
      </c>
      <c r="L14" s="201">
        <f>+'eoq y ss'!$C$48</f>
        <v>45095.601452901334</v>
      </c>
      <c r="M14" s="201">
        <f>+'eoq y ss'!$C$48</f>
        <v>45095.601452901334</v>
      </c>
    </row>
    <row r="15" spans="1:14" ht="15.75" thickBot="1" x14ac:dyDescent="0.3">
      <c r="A15" s="49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82"/>
    </row>
    <row r="16" spans="1:14" ht="15.75" thickBot="1" x14ac:dyDescent="0.3"/>
    <row r="17" spans="1:13" x14ac:dyDescent="0.25">
      <c r="A17" s="81" t="s">
        <v>180</v>
      </c>
      <c r="B17" s="212">
        <v>100002</v>
      </c>
      <c r="C17" s="243" t="s">
        <v>55</v>
      </c>
      <c r="D17" s="244"/>
      <c r="E17" s="244"/>
      <c r="F17" s="244"/>
      <c r="G17" s="74"/>
      <c r="H17" s="74"/>
      <c r="I17" s="74"/>
      <c r="J17" s="74"/>
      <c r="K17" s="74"/>
      <c r="L17" s="74"/>
      <c r="M17" s="75"/>
    </row>
    <row r="18" spans="1:13" x14ac:dyDescent="0.25">
      <c r="A18" s="240" t="s">
        <v>186</v>
      </c>
      <c r="B18" s="241"/>
      <c r="C18" s="207">
        <f>+'eoq y ss'!G18</f>
        <v>100830.56752570921</v>
      </c>
      <c r="D18" s="208"/>
      <c r="E18" s="208"/>
      <c r="F18" s="208"/>
      <c r="G18" s="2"/>
      <c r="H18" s="2"/>
      <c r="I18" s="2"/>
      <c r="J18" s="2"/>
      <c r="K18" s="2"/>
      <c r="L18" s="2"/>
      <c r="M18" s="48"/>
    </row>
    <row r="19" spans="1:13" x14ac:dyDescent="0.25">
      <c r="A19" s="240" t="s">
        <v>187</v>
      </c>
      <c r="B19" s="241"/>
      <c r="C19" s="241"/>
      <c r="D19" s="14">
        <v>0</v>
      </c>
      <c r="E19" s="208"/>
      <c r="F19" s="208"/>
      <c r="G19" s="2"/>
      <c r="H19" s="2"/>
      <c r="I19" s="2"/>
      <c r="J19" s="2"/>
      <c r="K19" s="2"/>
      <c r="L19" s="2"/>
      <c r="M19" s="48"/>
    </row>
    <row r="20" spans="1:13" ht="18.75" x14ac:dyDescent="0.3">
      <c r="A20" s="46"/>
      <c r="B20" s="242" t="s">
        <v>190</v>
      </c>
      <c r="C20" s="242"/>
      <c r="D20" s="242"/>
      <c r="E20" s="242"/>
      <c r="F20" s="242"/>
      <c r="G20" s="242"/>
      <c r="H20" s="242"/>
      <c r="I20" s="242"/>
      <c r="J20" s="242"/>
      <c r="K20" s="242"/>
      <c r="L20" s="242"/>
      <c r="M20" s="209"/>
    </row>
    <row r="21" spans="1:13" s="131" customFormat="1" ht="15.75" thickBot="1" x14ac:dyDescent="0.3">
      <c r="A21" s="210" t="s">
        <v>179</v>
      </c>
      <c r="B21" s="192">
        <v>1</v>
      </c>
      <c r="C21" s="192">
        <f>+B21+1</f>
        <v>2</v>
      </c>
      <c r="D21" s="192">
        <f t="shared" ref="D21:M21" si="13">+C21+1</f>
        <v>3</v>
      </c>
      <c r="E21" s="192">
        <f t="shared" si="13"/>
        <v>4</v>
      </c>
      <c r="F21" s="192">
        <f t="shared" si="13"/>
        <v>5</v>
      </c>
      <c r="G21" s="192">
        <f t="shared" si="13"/>
        <v>6</v>
      </c>
      <c r="H21" s="192">
        <f t="shared" si="13"/>
        <v>7</v>
      </c>
      <c r="I21" s="192">
        <f t="shared" si="13"/>
        <v>8</v>
      </c>
      <c r="J21" s="192">
        <f t="shared" si="13"/>
        <v>9</v>
      </c>
      <c r="K21" s="192">
        <f t="shared" si="13"/>
        <v>10</v>
      </c>
      <c r="L21" s="192">
        <f t="shared" si="13"/>
        <v>11</v>
      </c>
      <c r="M21" s="192">
        <f t="shared" si="13"/>
        <v>12</v>
      </c>
    </row>
    <row r="22" spans="1:13" s="13" customFormat="1" x14ac:dyDescent="0.25">
      <c r="A22" s="193" t="s">
        <v>188</v>
      </c>
      <c r="B22" s="194">
        <v>0</v>
      </c>
      <c r="C22" s="194">
        <f>+B26</f>
        <v>87200.663807359204</v>
      </c>
      <c r="D22" s="194">
        <f>+C26</f>
        <v>67714.242990800005</v>
      </c>
      <c r="E22" s="194">
        <f t="shared" ref="E22:M22" si="14">+D26</f>
        <v>46456.650422130158</v>
      </c>
      <c r="F22" s="194">
        <f t="shared" si="14"/>
        <v>36089.065633045175</v>
      </c>
      <c r="G22" s="194">
        <f t="shared" si="14"/>
        <v>24632.475464266827</v>
      </c>
      <c r="H22" s="194">
        <f t="shared" si="14"/>
        <v>10997.87453610175</v>
      </c>
      <c r="I22" s="194">
        <f t="shared" si="14"/>
        <v>-5903.7425311434054</v>
      </c>
      <c r="J22" s="194">
        <f t="shared" si="14"/>
        <v>-23894.36497808194</v>
      </c>
      <c r="K22" s="194">
        <f t="shared" si="14"/>
        <v>56767.569341302005</v>
      </c>
      <c r="L22" s="194">
        <f t="shared" si="14"/>
        <v>33331.919995896693</v>
      </c>
      <c r="M22" s="195">
        <f t="shared" si="14"/>
        <v>8807.2652707980014</v>
      </c>
    </row>
    <row r="23" spans="1:13" x14ac:dyDescent="0.25">
      <c r="A23" s="196" t="s">
        <v>181</v>
      </c>
      <c r="B23" s="146">
        <f>+'PRONOSTICO COLOMBINA'!K4</f>
        <v>114460.47124405921</v>
      </c>
      <c r="C23" s="146">
        <f>+'PRONOSTICO COLOMBINA'!L4</f>
        <v>120316.98834226841</v>
      </c>
      <c r="D23" s="146">
        <f>+'PRONOSTICO COLOMBINA'!M4</f>
        <v>122088.16009437905</v>
      </c>
      <c r="E23" s="146">
        <f>+'PRONOSTICO COLOMBINA'!N4</f>
        <v>111198.15231479419</v>
      </c>
      <c r="F23" s="146">
        <f>+'PRONOSTICO COLOMBINA'!O4</f>
        <v>112287.15769448756</v>
      </c>
      <c r="G23" s="146">
        <f>+'PRONOSTICO COLOMBINA'!P4</f>
        <v>114465.16845387428</v>
      </c>
      <c r="H23" s="146">
        <f>+'PRONOSTICO COLOMBINA'!Q4</f>
        <v>117732.18459295436</v>
      </c>
      <c r="I23" s="146">
        <f>+'PRONOSTICO COLOMBINA'!R4</f>
        <v>118821.18997264774</v>
      </c>
      <c r="J23" s="146">
        <f>+'PRONOSTICO COLOMBINA'!S4</f>
        <v>120999.20073203446</v>
      </c>
      <c r="K23" s="146">
        <f>+'PRONOSTICO COLOMBINA'!T4</f>
        <v>124266.21687111452</v>
      </c>
      <c r="L23" s="146">
        <f>+'PRONOSTICO COLOMBINA'!U4</f>
        <v>125355.2222508079</v>
      </c>
      <c r="M23" s="146">
        <f>+'PRONOSTICO COLOMBINA'!V4</f>
        <v>127533.23301019461</v>
      </c>
    </row>
    <row r="24" spans="1:13" x14ac:dyDescent="0.25">
      <c r="A24" s="196" t="s">
        <v>182</v>
      </c>
      <c r="B24" s="146">
        <f>+B22-B23</f>
        <v>-114460.47124405921</v>
      </c>
      <c r="C24" s="191">
        <f>+C22-C23</f>
        <v>-33116.324534909203</v>
      </c>
      <c r="D24" s="191">
        <f>+D22-D23</f>
        <v>-54373.91710357905</v>
      </c>
      <c r="E24" s="191">
        <f>+E22-E23</f>
        <v>-64741.501892664033</v>
      </c>
      <c r="F24" s="191">
        <f>+F22-F23</f>
        <v>-76198.092061442381</v>
      </c>
      <c r="G24" s="191">
        <f t="shared" ref="G24:M24" si="15">+G22-G23</f>
        <v>-89832.692989607458</v>
      </c>
      <c r="H24" s="191">
        <f t="shared" si="15"/>
        <v>-106734.31005685261</v>
      </c>
      <c r="I24" s="191">
        <f t="shared" si="15"/>
        <v>-124724.93250379115</v>
      </c>
      <c r="J24" s="191">
        <f t="shared" si="15"/>
        <v>-144893.56571011641</v>
      </c>
      <c r="K24" s="191">
        <f t="shared" si="15"/>
        <v>-67498.647529812515</v>
      </c>
      <c r="L24" s="191">
        <f t="shared" si="15"/>
        <v>-92023.302254911207</v>
      </c>
      <c r="M24" s="198">
        <f t="shared" si="15"/>
        <v>-118725.96773939661</v>
      </c>
    </row>
    <row r="25" spans="1:13" x14ac:dyDescent="0.25">
      <c r="A25" s="196" t="s">
        <v>183</v>
      </c>
      <c r="B25" s="191">
        <f>+'eoq y ss'!G18*2</f>
        <v>201661.13505141842</v>
      </c>
      <c r="C25" s="191">
        <f>IF(C24&gt;C27,0,'eoq y ss'!$G$18)</f>
        <v>100830.56752570921</v>
      </c>
      <c r="D25" s="191">
        <f>IF(D24&gt;D27,0,'eoq y ss'!$G$18)</f>
        <v>100830.56752570921</v>
      </c>
      <c r="E25" s="191">
        <f>IF(E24&gt;E27,0,'eoq y ss'!$G$18)</f>
        <v>100830.56752570921</v>
      </c>
      <c r="F25" s="191">
        <f>IF(F24&gt;F27,0,'eoq y ss'!$G$18)</f>
        <v>100830.56752570921</v>
      </c>
      <c r="G25" s="191">
        <f>IF(G24&gt;G27,0,'eoq y ss'!$G$18)</f>
        <v>100830.56752570921</v>
      </c>
      <c r="H25" s="191">
        <f>IF(H24&gt;H27,0,'eoq y ss'!$G$18)</f>
        <v>100830.56752570921</v>
      </c>
      <c r="I25" s="191">
        <f>IF(I24&gt;I27,0,'eoq y ss'!$G$18)</f>
        <v>100830.56752570921</v>
      </c>
      <c r="J25" s="191">
        <f>IF(J24&gt;J27,0,'eoq y ss'!$G$18)*2</f>
        <v>201661.13505141842</v>
      </c>
      <c r="K25" s="191">
        <f>IF(K24&gt;K27,0,'eoq y ss'!$G$18)</f>
        <v>100830.56752570921</v>
      </c>
      <c r="L25" s="191">
        <f>IF(L24&gt;L27,0,'eoq y ss'!$G$18)</f>
        <v>100830.56752570921</v>
      </c>
      <c r="M25" s="198">
        <f>IF(M24&gt;M27,0,'eoq y ss'!$G$18)</f>
        <v>100830.56752570921</v>
      </c>
    </row>
    <row r="26" spans="1:13" s="13" customFormat="1" x14ac:dyDescent="0.25">
      <c r="A26" s="199" t="s">
        <v>184</v>
      </c>
      <c r="B26" s="191">
        <f>B24+B25</f>
        <v>87200.663807359204</v>
      </c>
      <c r="C26" s="191">
        <f>C24+C25</f>
        <v>67714.242990800005</v>
      </c>
      <c r="D26" s="191">
        <f>D24+D25</f>
        <v>46456.650422130158</v>
      </c>
      <c r="E26" s="191">
        <f>E24+E25</f>
        <v>36089.065633045175</v>
      </c>
      <c r="F26" s="191">
        <f t="shared" ref="F26:M26" si="16">F24+F25</f>
        <v>24632.475464266827</v>
      </c>
      <c r="G26" s="191">
        <f t="shared" si="16"/>
        <v>10997.87453610175</v>
      </c>
      <c r="H26" s="191">
        <f t="shared" si="16"/>
        <v>-5903.7425311434054</v>
      </c>
      <c r="I26" s="191">
        <f t="shared" si="16"/>
        <v>-23894.36497808194</v>
      </c>
      <c r="J26" s="191">
        <f t="shared" si="16"/>
        <v>56767.569341302005</v>
      </c>
      <c r="K26" s="191">
        <f t="shared" si="16"/>
        <v>33331.919995896693</v>
      </c>
      <c r="L26" s="191">
        <f t="shared" si="16"/>
        <v>8807.2652707980014</v>
      </c>
      <c r="M26" s="198">
        <f t="shared" si="16"/>
        <v>-17895.400213687404</v>
      </c>
    </row>
    <row r="27" spans="1:13" s="13" customFormat="1" ht="15.75" thickBot="1" x14ac:dyDescent="0.3">
      <c r="A27" s="200" t="s">
        <v>189</v>
      </c>
      <c r="B27" s="201">
        <f>+'eoq y ss'!$L$48</f>
        <v>31379.022677643847</v>
      </c>
      <c r="C27" s="201">
        <f>+'eoq y ss'!$L$48</f>
        <v>31379.022677643847</v>
      </c>
      <c r="D27" s="201">
        <f>+'eoq y ss'!$L$48</f>
        <v>31379.022677643847</v>
      </c>
      <c r="E27" s="201">
        <f>+'eoq y ss'!$L$48</f>
        <v>31379.022677643847</v>
      </c>
      <c r="F27" s="201">
        <f>+'eoq y ss'!$L$48</f>
        <v>31379.022677643847</v>
      </c>
      <c r="G27" s="201">
        <f>+'eoq y ss'!$L$48</f>
        <v>31379.022677643847</v>
      </c>
      <c r="H27" s="201">
        <f>+'eoq y ss'!$L$48</f>
        <v>31379.022677643847</v>
      </c>
      <c r="I27" s="201">
        <f>+'eoq y ss'!$L$48</f>
        <v>31379.022677643847</v>
      </c>
      <c r="J27" s="201">
        <f>+'eoq y ss'!$L$48</f>
        <v>31379.022677643847</v>
      </c>
      <c r="K27" s="201">
        <f>+'eoq y ss'!$L$48</f>
        <v>31379.022677643847</v>
      </c>
      <c r="L27" s="201">
        <f>+'eoq y ss'!$L$48</f>
        <v>31379.022677643847</v>
      </c>
      <c r="M27" s="202">
        <f>+'eoq y ss'!$L$48</f>
        <v>31379.022677643847</v>
      </c>
    </row>
    <row r="28" spans="1:13" ht="15.75" thickBot="1" x14ac:dyDescent="0.3">
      <c r="A28" s="49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82"/>
    </row>
    <row r="29" spans="1:13" x14ac:dyDescent="0.25">
      <c r="A29" s="81" t="s">
        <v>180</v>
      </c>
      <c r="B29" s="212">
        <v>100003</v>
      </c>
      <c r="C29" s="243" t="s">
        <v>48</v>
      </c>
      <c r="D29" s="244"/>
      <c r="E29" s="244"/>
      <c r="F29" s="244"/>
      <c r="G29" s="74"/>
      <c r="H29" s="74"/>
      <c r="I29" s="74"/>
      <c r="J29" s="74"/>
      <c r="K29" s="74"/>
      <c r="L29" s="74"/>
      <c r="M29" s="75"/>
    </row>
    <row r="30" spans="1:13" x14ac:dyDescent="0.25">
      <c r="A30" s="240" t="s">
        <v>186</v>
      </c>
      <c r="B30" s="241"/>
      <c r="C30" s="207">
        <f>+'eoq y ss'!P5</f>
        <v>36781.354564331094</v>
      </c>
      <c r="D30" s="208"/>
      <c r="E30" s="208"/>
      <c r="F30" s="208"/>
      <c r="G30" s="2"/>
      <c r="H30" s="2"/>
      <c r="I30" s="2"/>
      <c r="J30" s="2"/>
      <c r="K30" s="2"/>
      <c r="L30" s="2"/>
      <c r="M30" s="48"/>
    </row>
    <row r="31" spans="1:13" x14ac:dyDescent="0.25">
      <c r="A31" s="240" t="s">
        <v>187</v>
      </c>
      <c r="B31" s="241"/>
      <c r="C31" s="241"/>
      <c r="D31" s="14">
        <v>0</v>
      </c>
      <c r="E31" s="208"/>
      <c r="F31" s="208"/>
      <c r="G31" s="2"/>
      <c r="H31" s="2"/>
      <c r="I31" s="2"/>
      <c r="J31" s="2"/>
      <c r="K31" s="2"/>
      <c r="L31" s="2"/>
      <c r="M31" s="48"/>
    </row>
    <row r="32" spans="1:13" ht="18.75" x14ac:dyDescent="0.3">
      <c r="A32" s="46"/>
      <c r="B32" s="242" t="s">
        <v>190</v>
      </c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09"/>
    </row>
    <row r="33" spans="1:13" s="131" customFormat="1" ht="15.75" thickBot="1" x14ac:dyDescent="0.3">
      <c r="A33" s="210" t="s">
        <v>179</v>
      </c>
      <c r="B33" s="192">
        <v>1</v>
      </c>
      <c r="C33" s="192">
        <v>2</v>
      </c>
      <c r="D33" s="192">
        <v>3</v>
      </c>
      <c r="E33" s="192">
        <v>4</v>
      </c>
      <c r="F33" s="192">
        <v>5</v>
      </c>
      <c r="G33" s="192">
        <v>6</v>
      </c>
      <c r="H33" s="192">
        <v>7</v>
      </c>
      <c r="I33" s="192">
        <v>8</v>
      </c>
      <c r="J33" s="192">
        <v>9</v>
      </c>
      <c r="K33" s="192">
        <v>10</v>
      </c>
      <c r="L33" s="192">
        <v>11</v>
      </c>
      <c r="M33" s="211">
        <v>12</v>
      </c>
    </row>
    <row r="34" spans="1:13" s="13" customFormat="1" x14ac:dyDescent="0.25">
      <c r="A34" s="193" t="s">
        <v>188</v>
      </c>
      <c r="B34" s="194">
        <v>0</v>
      </c>
      <c r="C34" s="194">
        <f>+B38</f>
        <v>45408.390359702185</v>
      </c>
      <c r="D34" s="194">
        <f>+C38</f>
        <v>48775.081456082968</v>
      </c>
      <c r="E34" s="194">
        <f t="shared" ref="E34:M34" si="17">+D38</f>
        <v>14830.127044386943</v>
      </c>
      <c r="F34" s="194">
        <f t="shared" si="17"/>
        <v>18753.35432073308</v>
      </c>
      <c r="G34" s="194">
        <f t="shared" si="17"/>
        <v>21698.433052444459</v>
      </c>
      <c r="H34" s="194">
        <f t="shared" si="17"/>
        <v>23991.412754399331</v>
      </c>
      <c r="I34" s="194">
        <f t="shared" si="17"/>
        <v>25958.342941475952</v>
      </c>
      <c r="J34" s="194">
        <f t="shared" si="17"/>
        <v>26947.124583917815</v>
      </c>
      <c r="K34" s="194">
        <f t="shared" si="17"/>
        <v>27283.807196603178</v>
      </c>
      <c r="L34" s="194">
        <f t="shared" si="17"/>
        <v>27294.440294410284</v>
      </c>
      <c r="M34" s="195">
        <f t="shared" si="17"/>
        <v>26326.924847582624</v>
      </c>
    </row>
    <row r="35" spans="1:13" x14ac:dyDescent="0.25">
      <c r="A35" s="196" t="s">
        <v>181</v>
      </c>
      <c r="B35" s="146">
        <f>+'PRONOSTICO COLOMBINA'!K5</f>
        <v>28154.318768960005</v>
      </c>
      <c r="C35" s="146">
        <f>+'PRONOSTICO COLOMBINA'!L5</f>
        <v>33414.663467950311</v>
      </c>
      <c r="D35" s="146">
        <f>+'PRONOSTICO COLOMBINA'!M5</f>
        <v>33944.954411696024</v>
      </c>
      <c r="E35" s="146">
        <f>+'PRONOSTICO COLOMBINA'!N5</f>
        <v>32858.127287984957</v>
      </c>
      <c r="F35" s="146">
        <f>+'PRONOSTICO COLOMBINA'!O5</f>
        <v>33836.275832619714</v>
      </c>
      <c r="G35" s="146">
        <f>+'PRONOSTICO COLOMBINA'!P5</f>
        <v>34488.374862376222</v>
      </c>
      <c r="H35" s="146">
        <f>+'PRONOSTICO COLOMBINA'!Q5</f>
        <v>34814.424377254472</v>
      </c>
      <c r="I35" s="146">
        <f>+'PRONOSTICO COLOMBINA'!R5</f>
        <v>35792.57292188923</v>
      </c>
      <c r="J35" s="146">
        <f>+'PRONOSTICO COLOMBINA'!S5</f>
        <v>36444.671951645731</v>
      </c>
      <c r="K35" s="146">
        <f>+'PRONOSTICO COLOMBINA'!T5</f>
        <v>36770.721466523988</v>
      </c>
      <c r="L35" s="146">
        <f>+'PRONOSTICO COLOMBINA'!U5</f>
        <v>37748.870011158753</v>
      </c>
      <c r="M35" s="146">
        <f>+'PRONOSTICO COLOMBINA'!V5</f>
        <v>38400.969040915261</v>
      </c>
    </row>
    <row r="36" spans="1:13" x14ac:dyDescent="0.25">
      <c r="A36" s="196" t="s">
        <v>182</v>
      </c>
      <c r="B36" s="146">
        <f>+B34-B35</f>
        <v>-28154.318768960005</v>
      </c>
      <c r="C36" s="191">
        <f>+C34-C35</f>
        <v>11993.726891751874</v>
      </c>
      <c r="D36" s="191">
        <f>+D34-D35</f>
        <v>14830.127044386943</v>
      </c>
      <c r="E36" s="191">
        <f>+E34-E35</f>
        <v>-18028.000243598013</v>
      </c>
      <c r="F36" s="191">
        <f>+F34-F35</f>
        <v>-15082.921511886634</v>
      </c>
      <c r="G36" s="191">
        <f t="shared" ref="G36:M36" si="18">+G34-G35</f>
        <v>-12789.941809931763</v>
      </c>
      <c r="H36" s="191">
        <f t="shared" si="18"/>
        <v>-10823.011622855141</v>
      </c>
      <c r="I36" s="191">
        <f t="shared" si="18"/>
        <v>-9834.2299804132781</v>
      </c>
      <c r="J36" s="191">
        <f t="shared" si="18"/>
        <v>-9497.5473677279151</v>
      </c>
      <c r="K36" s="191">
        <f t="shared" si="18"/>
        <v>-9486.9142699208096</v>
      </c>
      <c r="L36" s="191">
        <f t="shared" si="18"/>
        <v>-10454.429716748469</v>
      </c>
      <c r="M36" s="198">
        <f t="shared" si="18"/>
        <v>-12074.044193332636</v>
      </c>
    </row>
    <row r="37" spans="1:13" x14ac:dyDescent="0.25">
      <c r="A37" s="196" t="s">
        <v>183</v>
      </c>
      <c r="B37" s="191">
        <f>+'eoq y ss'!P5*2</f>
        <v>73562.709128662187</v>
      </c>
      <c r="C37" s="191">
        <f>IF(C36&gt;C39,0,'eoq y ss'!$P$5)</f>
        <v>36781.354564331094</v>
      </c>
      <c r="D37" s="191">
        <f>IF(D36&gt;D39,0,'eoq y ss'!$P$5)</f>
        <v>0</v>
      </c>
      <c r="E37" s="191">
        <f>IF(E36&gt;E39,0,'eoq y ss'!$P$5)</f>
        <v>36781.354564331094</v>
      </c>
      <c r="F37" s="191">
        <f>IF(F36&gt;F39,0,'eoq y ss'!$P$5)</f>
        <v>36781.354564331094</v>
      </c>
      <c r="G37" s="191">
        <f>IF(G36&gt;G39,0,'eoq y ss'!$P$5)</f>
        <v>36781.354564331094</v>
      </c>
      <c r="H37" s="191">
        <f>IF(H36&gt;H39,0,'eoq y ss'!$P$5)</f>
        <v>36781.354564331094</v>
      </c>
      <c r="I37" s="191">
        <f>IF(I36&gt;I39,0,'eoq y ss'!$P$5)</f>
        <v>36781.354564331094</v>
      </c>
      <c r="J37" s="191">
        <f>IF(J36&gt;J39,0,'eoq y ss'!$P$5)</f>
        <v>36781.354564331094</v>
      </c>
      <c r="K37" s="191">
        <f>IF(K36&gt;K39,0,'eoq y ss'!$P$5)</f>
        <v>36781.354564331094</v>
      </c>
      <c r="L37" s="191">
        <f>IF(L36&gt;L39,0,'eoq y ss'!$P$5)</f>
        <v>36781.354564331094</v>
      </c>
      <c r="M37" s="198">
        <f>IF(M36&gt;M39,0,'eoq y ss'!$P$5)</f>
        <v>36781.354564331094</v>
      </c>
    </row>
    <row r="38" spans="1:13" s="13" customFormat="1" x14ac:dyDescent="0.25">
      <c r="A38" s="199" t="s">
        <v>184</v>
      </c>
      <c r="B38" s="191">
        <f>B36+B37</f>
        <v>45408.390359702185</v>
      </c>
      <c r="C38" s="191">
        <f>C36+C37</f>
        <v>48775.081456082968</v>
      </c>
      <c r="D38" s="191">
        <f>D36+D37</f>
        <v>14830.127044386943</v>
      </c>
      <c r="E38" s="191">
        <f>E36+E37</f>
        <v>18753.35432073308</v>
      </c>
      <c r="F38" s="191">
        <f t="shared" ref="F38:M38" si="19">F36+F37</f>
        <v>21698.433052444459</v>
      </c>
      <c r="G38" s="191">
        <f t="shared" si="19"/>
        <v>23991.412754399331</v>
      </c>
      <c r="H38" s="191">
        <f t="shared" si="19"/>
        <v>25958.342941475952</v>
      </c>
      <c r="I38" s="191">
        <f t="shared" si="19"/>
        <v>26947.124583917815</v>
      </c>
      <c r="J38" s="191">
        <f t="shared" si="19"/>
        <v>27283.807196603178</v>
      </c>
      <c r="K38" s="191">
        <f t="shared" si="19"/>
        <v>27294.440294410284</v>
      </c>
      <c r="L38" s="191">
        <f t="shared" si="19"/>
        <v>26326.924847582624</v>
      </c>
      <c r="M38" s="198">
        <f t="shared" si="19"/>
        <v>24707.310370998457</v>
      </c>
    </row>
    <row r="39" spans="1:13" s="13" customFormat="1" ht="15.75" thickBot="1" x14ac:dyDescent="0.3">
      <c r="A39" s="200" t="s">
        <v>189</v>
      </c>
      <c r="B39" s="201">
        <f>+'eoq y ss'!$G$48</f>
        <v>14092.375454031666</v>
      </c>
      <c r="C39" s="201">
        <f>+'eoq y ss'!$G$48</f>
        <v>14092.375454031666</v>
      </c>
      <c r="D39" s="201">
        <f>+'eoq y ss'!$G$48</f>
        <v>14092.375454031666</v>
      </c>
      <c r="E39" s="201">
        <f>+'eoq y ss'!$G$48</f>
        <v>14092.375454031666</v>
      </c>
      <c r="F39" s="201">
        <f>+'eoq y ss'!$G$48</f>
        <v>14092.375454031666</v>
      </c>
      <c r="G39" s="201">
        <f>+'eoq y ss'!$G$48</f>
        <v>14092.375454031666</v>
      </c>
      <c r="H39" s="201">
        <f>+'eoq y ss'!$G$48</f>
        <v>14092.375454031666</v>
      </c>
      <c r="I39" s="201">
        <f>+'eoq y ss'!$G$48</f>
        <v>14092.375454031666</v>
      </c>
      <c r="J39" s="201">
        <f>+'eoq y ss'!$G$48</f>
        <v>14092.375454031666</v>
      </c>
      <c r="K39" s="201">
        <f>+'eoq y ss'!$G$48</f>
        <v>14092.375454031666</v>
      </c>
      <c r="L39" s="201">
        <f>+'eoq y ss'!$G$48</f>
        <v>14092.375454031666</v>
      </c>
      <c r="M39" s="202">
        <f>+'eoq y ss'!$G$48</f>
        <v>14092.375454031666</v>
      </c>
    </row>
    <row r="40" spans="1:13" ht="15.75" thickBot="1" x14ac:dyDescent="0.3">
      <c r="A40" s="49"/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82"/>
    </row>
    <row r="41" spans="1:13" ht="15.75" thickBot="1" x14ac:dyDescent="0.3"/>
    <row r="42" spans="1:13" x14ac:dyDescent="0.25">
      <c r="A42" s="81" t="s">
        <v>180</v>
      </c>
      <c r="B42" s="212">
        <v>100004</v>
      </c>
      <c r="C42" s="243" t="s">
        <v>56</v>
      </c>
      <c r="D42" s="244"/>
      <c r="E42" s="244"/>
      <c r="F42" s="244"/>
      <c r="G42" s="74"/>
      <c r="H42" s="74"/>
      <c r="I42" s="74"/>
      <c r="J42" s="74"/>
      <c r="K42" s="74"/>
      <c r="L42" s="74"/>
      <c r="M42" s="75"/>
    </row>
    <row r="43" spans="1:13" x14ac:dyDescent="0.25">
      <c r="A43" s="240" t="s">
        <v>186</v>
      </c>
      <c r="B43" s="241"/>
      <c r="C43" s="207">
        <f>+'eoq y ss'!P19</f>
        <v>75486.953836994988</v>
      </c>
      <c r="D43" s="208"/>
      <c r="E43" s="208"/>
      <c r="F43" s="208"/>
      <c r="G43" s="2"/>
      <c r="H43" s="2"/>
      <c r="I43" s="2"/>
      <c r="J43" s="2"/>
      <c r="K43" s="2"/>
      <c r="L43" s="2"/>
      <c r="M43" s="48"/>
    </row>
    <row r="44" spans="1:13" x14ac:dyDescent="0.25">
      <c r="A44" s="240" t="s">
        <v>187</v>
      </c>
      <c r="B44" s="241"/>
      <c r="C44" s="241"/>
      <c r="D44" s="14">
        <v>0</v>
      </c>
      <c r="E44" s="208"/>
      <c r="F44" s="208"/>
      <c r="G44" s="2"/>
      <c r="H44" s="2"/>
      <c r="I44" s="2"/>
      <c r="J44" s="2"/>
      <c r="K44" s="2"/>
      <c r="L44" s="2"/>
      <c r="M44" s="48"/>
    </row>
    <row r="45" spans="1:13" ht="18.75" x14ac:dyDescent="0.3">
      <c r="A45" s="46"/>
      <c r="B45" s="242" t="s">
        <v>190</v>
      </c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09"/>
    </row>
    <row r="46" spans="1:13" ht="15.75" thickBot="1" x14ac:dyDescent="0.3">
      <c r="A46" s="210" t="s">
        <v>179</v>
      </c>
      <c r="B46" s="192">
        <v>1</v>
      </c>
      <c r="C46" s="192">
        <v>2</v>
      </c>
      <c r="D46" s="192">
        <v>3</v>
      </c>
      <c r="E46" s="192">
        <v>4</v>
      </c>
      <c r="F46" s="192">
        <v>5</v>
      </c>
      <c r="G46" s="192">
        <v>6</v>
      </c>
      <c r="H46" s="192">
        <v>7</v>
      </c>
      <c r="I46" s="192">
        <v>8</v>
      </c>
      <c r="J46" s="192">
        <v>9</v>
      </c>
      <c r="K46" s="192">
        <v>10</v>
      </c>
      <c r="L46" s="192">
        <v>11</v>
      </c>
      <c r="M46" s="211">
        <v>12</v>
      </c>
    </row>
    <row r="47" spans="1:13" x14ac:dyDescent="0.25">
      <c r="A47" s="193" t="s">
        <v>188</v>
      </c>
      <c r="B47" s="194">
        <v>0</v>
      </c>
      <c r="C47" s="194">
        <f>+B51</f>
        <v>95279.465272388858</v>
      </c>
      <c r="D47" s="194">
        <f>+C51</f>
        <v>33020.112686447828</v>
      </c>
      <c r="E47" s="194">
        <f t="shared" ref="E47:M47" si="20">+D51</f>
        <v>44758.656967463852</v>
      </c>
      <c r="F47" s="194">
        <f t="shared" si="20"/>
        <v>58531.741624066985</v>
      </c>
      <c r="G47" s="194">
        <f t="shared" si="20"/>
        <v>60357.633089451905</v>
      </c>
      <c r="H47" s="194">
        <f t="shared" si="20"/>
        <v>71282.34918407863</v>
      </c>
      <c r="I47" s="194">
        <f t="shared" si="20"/>
        <v>81596.700586853258</v>
      </c>
      <c r="J47" s="194">
        <f t="shared" si="20"/>
        <v>90079.957914071623</v>
      </c>
      <c r="K47" s="194">
        <f t="shared" si="20"/>
        <v>97342.485857585809</v>
      </c>
      <c r="L47" s="194">
        <f t="shared" si="20"/>
        <v>28507.695272252924</v>
      </c>
      <c r="M47" s="195">
        <f t="shared" si="20"/>
        <v>33328.76444835875</v>
      </c>
    </row>
    <row r="48" spans="1:13" x14ac:dyDescent="0.25">
      <c r="A48" s="196" t="s">
        <v>181</v>
      </c>
      <c r="B48" s="146">
        <f>+'PRONOSTICO COLOMBINA'!K6</f>
        <v>55694.442401601125</v>
      </c>
      <c r="C48" s="146">
        <f>+'PRONOSTICO COLOMBINA'!L6</f>
        <v>62259.352585941029</v>
      </c>
      <c r="D48" s="146">
        <f>+'PRONOSTICO COLOMBINA'!M6</f>
        <v>63748.409555978964</v>
      </c>
      <c r="E48" s="146">
        <f>+'PRONOSTICO COLOMBINA'!N6</f>
        <v>61713.869180391855</v>
      </c>
      <c r="F48" s="146">
        <f>+'PRONOSTICO COLOMBINA'!O6</f>
        <v>73661.062371610067</v>
      </c>
      <c r="G48" s="146">
        <f>+'PRONOSTICO COLOMBINA'!P6</f>
        <v>64562.23774236827</v>
      </c>
      <c r="H48" s="146">
        <f>+'PRONOSTICO COLOMBINA'!Q6</f>
        <v>65172.602434220353</v>
      </c>
      <c r="I48" s="146">
        <f>+'PRONOSTICO COLOMBINA'!R6</f>
        <v>67003.696509776622</v>
      </c>
      <c r="J48" s="146">
        <f>+'PRONOSTICO COLOMBINA'!S6</f>
        <v>68224.425893480802</v>
      </c>
      <c r="K48" s="146">
        <f>+'PRONOSTICO COLOMBINA'!T6</f>
        <v>68834.790585332885</v>
      </c>
      <c r="L48" s="146">
        <f>+'PRONOSTICO COLOMBINA'!U6</f>
        <v>70665.884660889162</v>
      </c>
      <c r="M48" s="146">
        <f>+'PRONOSTICO COLOMBINA'!V6</f>
        <v>71886.614044593342</v>
      </c>
    </row>
    <row r="49" spans="1:13" x14ac:dyDescent="0.25">
      <c r="A49" s="196" t="s">
        <v>182</v>
      </c>
      <c r="B49" s="146">
        <f>+B47-B48</f>
        <v>-55694.442401601125</v>
      </c>
      <c r="C49" s="191">
        <f>+C47-C48</f>
        <v>33020.112686447828</v>
      </c>
      <c r="D49" s="191">
        <f>+D47-D48</f>
        <v>-30728.296869531136</v>
      </c>
      <c r="E49" s="191">
        <f>+E47-E48</f>
        <v>-16955.212212928003</v>
      </c>
      <c r="F49" s="191">
        <f>+F47-F48</f>
        <v>-15129.320747543083</v>
      </c>
      <c r="G49" s="191">
        <f t="shared" ref="G49:M49" si="21">+G47-G48</f>
        <v>-4204.604652916365</v>
      </c>
      <c r="H49" s="191">
        <f t="shared" si="21"/>
        <v>6109.7467498582773</v>
      </c>
      <c r="I49" s="191">
        <f t="shared" si="21"/>
        <v>14593.004077076635</v>
      </c>
      <c r="J49" s="191">
        <f t="shared" si="21"/>
        <v>21855.532020590821</v>
      </c>
      <c r="K49" s="191">
        <f t="shared" si="21"/>
        <v>28507.695272252924</v>
      </c>
      <c r="L49" s="191">
        <f t="shared" si="21"/>
        <v>-42158.189388636238</v>
      </c>
      <c r="M49" s="198">
        <f t="shared" si="21"/>
        <v>-38557.849596234591</v>
      </c>
    </row>
    <row r="50" spans="1:13" x14ac:dyDescent="0.25">
      <c r="A50" s="196" t="s">
        <v>183</v>
      </c>
      <c r="B50" s="191">
        <f>+'eoq y ss'!P19*2</f>
        <v>150973.90767398998</v>
      </c>
      <c r="C50" s="191">
        <f>IF(C49&gt;C52,0,'eoq y ss'!$P$19)</f>
        <v>0</v>
      </c>
      <c r="D50" s="191">
        <f>IF(D49&gt;D52,0,'eoq y ss'!$P$19)</f>
        <v>75486.953836994988</v>
      </c>
      <c r="E50" s="191">
        <f>IF(E49&gt;E52,0,'eoq y ss'!$P$19)</f>
        <v>75486.953836994988</v>
      </c>
      <c r="F50" s="191">
        <f>IF(F49&gt;F52,0,'eoq y ss'!$P$19)</f>
        <v>75486.953836994988</v>
      </c>
      <c r="G50" s="191">
        <f>IF(G49&gt;G52,0,'eoq y ss'!$P$19)</f>
        <v>75486.953836994988</v>
      </c>
      <c r="H50" s="191">
        <f>IF(H49&gt;H52,0,'eoq y ss'!$P$19)</f>
        <v>75486.953836994988</v>
      </c>
      <c r="I50" s="191">
        <f>IF(I49&gt;I52,0,'eoq y ss'!$P$19)</f>
        <v>75486.953836994988</v>
      </c>
      <c r="J50" s="191">
        <f>IF(J49&gt;J52,0,'eoq y ss'!$P$19)</f>
        <v>75486.953836994988</v>
      </c>
      <c r="K50" s="191">
        <f>IF(K49&gt;K52,0,'eoq y ss'!$P$19)</f>
        <v>0</v>
      </c>
      <c r="L50" s="191">
        <f>IF(L49&gt;L52,0,'eoq y ss'!$P$19)</f>
        <v>75486.953836994988</v>
      </c>
      <c r="M50" s="191">
        <f>IF(M49&gt;M52,0,'eoq y ss'!$P$19)</f>
        <v>75486.953836994988</v>
      </c>
    </row>
    <row r="51" spans="1:13" x14ac:dyDescent="0.25">
      <c r="A51" s="199" t="s">
        <v>184</v>
      </c>
      <c r="B51" s="191">
        <f>B49+B50</f>
        <v>95279.465272388858</v>
      </c>
      <c r="C51" s="191">
        <f>C49+C50</f>
        <v>33020.112686447828</v>
      </c>
      <c r="D51" s="191">
        <f>D49+D50</f>
        <v>44758.656967463852</v>
      </c>
      <c r="E51" s="191">
        <f>E49+E50</f>
        <v>58531.741624066985</v>
      </c>
      <c r="F51" s="191">
        <f t="shared" ref="F51:M51" si="22">F49+F50</f>
        <v>60357.633089451905</v>
      </c>
      <c r="G51" s="191">
        <f t="shared" si="22"/>
        <v>71282.34918407863</v>
      </c>
      <c r="H51" s="191">
        <f t="shared" si="22"/>
        <v>81596.700586853258</v>
      </c>
      <c r="I51" s="191">
        <f t="shared" si="22"/>
        <v>90079.957914071623</v>
      </c>
      <c r="J51" s="191">
        <f t="shared" si="22"/>
        <v>97342.485857585809</v>
      </c>
      <c r="K51" s="191">
        <f t="shared" si="22"/>
        <v>28507.695272252924</v>
      </c>
      <c r="L51" s="191">
        <f t="shared" si="22"/>
        <v>33328.76444835875</v>
      </c>
      <c r="M51" s="198">
        <f t="shared" si="22"/>
        <v>36929.104240760396</v>
      </c>
    </row>
    <row r="52" spans="1:13" ht="15.75" thickBot="1" x14ac:dyDescent="0.3">
      <c r="A52" s="200" t="s">
        <v>189</v>
      </c>
      <c r="B52" s="201">
        <f>+'eoq y ss'!$C$54</f>
        <v>26380.926849947278</v>
      </c>
      <c r="C52" s="201">
        <f>+'eoq y ss'!$C$54</f>
        <v>26380.926849947278</v>
      </c>
      <c r="D52" s="201">
        <f>+'eoq y ss'!$C$54</f>
        <v>26380.926849947278</v>
      </c>
      <c r="E52" s="201">
        <f>+'eoq y ss'!$C$54</f>
        <v>26380.926849947278</v>
      </c>
      <c r="F52" s="201">
        <f>+'eoq y ss'!$C$54</f>
        <v>26380.926849947278</v>
      </c>
      <c r="G52" s="201">
        <f>+'eoq y ss'!$C$54</f>
        <v>26380.926849947278</v>
      </c>
      <c r="H52" s="201">
        <f>+'eoq y ss'!$C$54</f>
        <v>26380.926849947278</v>
      </c>
      <c r="I52" s="201">
        <f>+'eoq y ss'!$C$54</f>
        <v>26380.926849947278</v>
      </c>
      <c r="J52" s="201">
        <f>+'eoq y ss'!$C$54</f>
        <v>26380.926849947278</v>
      </c>
      <c r="K52" s="201">
        <f>+'eoq y ss'!$C$54</f>
        <v>26380.926849947278</v>
      </c>
      <c r="L52" s="201">
        <f>+'eoq y ss'!$C$54</f>
        <v>26380.926849947278</v>
      </c>
      <c r="M52" s="201">
        <f>+'eoq y ss'!$C$54</f>
        <v>26380.926849947278</v>
      </c>
    </row>
    <row r="53" spans="1:13" ht="15.75" thickBot="1" x14ac:dyDescent="0.3">
      <c r="A53" s="49"/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82"/>
    </row>
    <row r="54" spans="1:13" ht="15.75" thickBot="1" x14ac:dyDescent="0.3"/>
    <row r="55" spans="1:13" x14ac:dyDescent="0.25">
      <c r="A55" s="81" t="s">
        <v>180</v>
      </c>
      <c r="B55" s="212">
        <v>100005</v>
      </c>
      <c r="C55" s="243" t="s">
        <v>6</v>
      </c>
      <c r="D55" s="244"/>
      <c r="E55" s="244"/>
      <c r="F55" s="244"/>
      <c r="G55" s="74"/>
      <c r="H55" s="74"/>
      <c r="I55" s="74"/>
      <c r="J55" s="74"/>
      <c r="K55" s="74"/>
      <c r="L55" s="74"/>
      <c r="M55" s="75"/>
    </row>
    <row r="56" spans="1:13" x14ac:dyDescent="0.25">
      <c r="A56" s="240" t="s">
        <v>186</v>
      </c>
      <c r="B56" s="241"/>
      <c r="C56" s="207">
        <f>+'eoq y ss'!G32</f>
        <v>43320.878916106281</v>
      </c>
      <c r="D56" s="208"/>
      <c r="E56" s="208"/>
      <c r="F56" s="208"/>
      <c r="G56" s="2"/>
      <c r="H56" s="2"/>
      <c r="I56" s="2"/>
      <c r="J56" s="2"/>
      <c r="K56" s="2"/>
      <c r="L56" s="2"/>
      <c r="M56" s="48"/>
    </row>
    <row r="57" spans="1:13" x14ac:dyDescent="0.25">
      <c r="A57" s="240" t="s">
        <v>187</v>
      </c>
      <c r="B57" s="241"/>
      <c r="C57" s="241"/>
      <c r="D57" s="218">
        <v>0</v>
      </c>
      <c r="E57" s="208"/>
      <c r="F57" s="208"/>
      <c r="G57" s="2"/>
      <c r="H57" s="2"/>
      <c r="I57" s="2"/>
      <c r="J57" s="2"/>
      <c r="K57" s="2"/>
      <c r="L57" s="2"/>
      <c r="M57" s="48"/>
    </row>
    <row r="58" spans="1:13" ht="18.75" x14ac:dyDescent="0.3">
      <c r="A58" s="46"/>
      <c r="B58" s="242" t="s">
        <v>190</v>
      </c>
      <c r="C58" s="242"/>
      <c r="D58" s="242"/>
      <c r="E58" s="242"/>
      <c r="F58" s="242"/>
      <c r="G58" s="242"/>
      <c r="H58" s="242"/>
      <c r="I58" s="242"/>
      <c r="J58" s="242"/>
      <c r="K58" s="242"/>
      <c r="L58" s="242"/>
      <c r="M58" s="209"/>
    </row>
    <row r="59" spans="1:13" ht="15.75" thickBot="1" x14ac:dyDescent="0.3">
      <c r="A59" s="210" t="s">
        <v>179</v>
      </c>
      <c r="B59" s="192">
        <v>1</v>
      </c>
      <c r="C59" s="192">
        <v>2</v>
      </c>
      <c r="D59" s="192">
        <v>3</v>
      </c>
      <c r="E59" s="192">
        <v>4</v>
      </c>
      <c r="F59" s="192">
        <v>5</v>
      </c>
      <c r="G59" s="192">
        <v>6</v>
      </c>
      <c r="H59" s="192">
        <v>7</v>
      </c>
      <c r="I59" s="192">
        <v>8</v>
      </c>
      <c r="J59" s="192">
        <v>9</v>
      </c>
      <c r="K59" s="192">
        <v>10</v>
      </c>
      <c r="L59" s="192">
        <v>11</v>
      </c>
      <c r="M59" s="211">
        <v>12</v>
      </c>
    </row>
    <row r="60" spans="1:13" x14ac:dyDescent="0.25">
      <c r="A60" s="193" t="s">
        <v>188</v>
      </c>
      <c r="B60" s="194">
        <v>0</v>
      </c>
      <c r="C60" s="194">
        <f>+B64</f>
        <v>34909.158976832558</v>
      </c>
      <c r="D60" s="194">
        <f>+C64</f>
        <v>25345.558086971883</v>
      </c>
      <c r="E60" s="194">
        <f t="shared" ref="E60:M60" si="23">+D64</f>
        <v>18550.385532109198</v>
      </c>
      <c r="F60" s="194">
        <f t="shared" si="23"/>
        <v>16139.704978643058</v>
      </c>
      <c r="G60" s="194">
        <f t="shared" si="23"/>
        <v>12372.136764059585</v>
      </c>
      <c r="H60" s="194">
        <f t="shared" si="23"/>
        <v>8152.2726624369971</v>
      </c>
      <c r="I60" s="194">
        <f t="shared" si="23"/>
        <v>3027.8167867361917</v>
      </c>
      <c r="J60" s="194">
        <f t="shared" si="23"/>
        <v>-3453.5267500819464</v>
      </c>
      <c r="K60" s="194">
        <f t="shared" si="23"/>
        <v>32933.712742167081</v>
      </c>
      <c r="L60" s="194">
        <f t="shared" si="23"/>
        <v>25095.48154423161</v>
      </c>
      <c r="M60" s="195">
        <f t="shared" si="23"/>
        <v>15900.362685178807</v>
      </c>
    </row>
    <row r="61" spans="1:13" x14ac:dyDescent="0.25">
      <c r="A61" s="196" t="s">
        <v>181</v>
      </c>
      <c r="B61" s="146">
        <f>+'PRONOSTICO COLOMBINA'!K7</f>
        <v>51732.598855380005</v>
      </c>
      <c r="C61" s="146">
        <f>+'PRONOSTICO COLOMBINA'!L7</f>
        <v>52884.479805966956</v>
      </c>
      <c r="D61" s="146">
        <f>+'PRONOSTICO COLOMBINA'!M7</f>
        <v>50116.051470968967</v>
      </c>
      <c r="E61" s="146">
        <f>+'PRONOSTICO COLOMBINA'!N7</f>
        <v>45731.559469572421</v>
      </c>
      <c r="F61" s="146">
        <f>+'PRONOSTICO COLOMBINA'!O7</f>
        <v>47088.447130689754</v>
      </c>
      <c r="G61" s="146">
        <f>+'PRONOSTICO COLOMBINA'!P7</f>
        <v>47540.74301772887</v>
      </c>
      <c r="H61" s="146">
        <f>+'PRONOSTICO COLOMBINA'!Q7</f>
        <v>48445.334791807087</v>
      </c>
      <c r="I61" s="146">
        <f>+'PRONOSTICO COLOMBINA'!R7</f>
        <v>49802.222452924419</v>
      </c>
      <c r="J61" s="146">
        <f>+'PRONOSTICO COLOMBINA'!S7</f>
        <v>50254.518339963535</v>
      </c>
      <c r="K61" s="146">
        <f>+'PRONOSTICO COLOMBINA'!T7</f>
        <v>51159.110114041752</v>
      </c>
      <c r="L61" s="146">
        <f>+'PRONOSTICO COLOMBINA'!U7</f>
        <v>52515.997775159085</v>
      </c>
      <c r="M61" s="197">
        <f>+'PRONOSTICO COLOMBINA'!V7</f>
        <v>52968.293662198201</v>
      </c>
    </row>
    <row r="62" spans="1:13" x14ac:dyDescent="0.25">
      <c r="A62" s="196" t="s">
        <v>182</v>
      </c>
      <c r="B62" s="146">
        <f>+B60-B61</f>
        <v>-51732.598855380005</v>
      </c>
      <c r="C62" s="191">
        <f>+C60-C61</f>
        <v>-17975.320829134398</v>
      </c>
      <c r="D62" s="191">
        <f>+D60-D61</f>
        <v>-24770.493383997084</v>
      </c>
      <c r="E62" s="191">
        <f>+E60-E61</f>
        <v>-27181.173937463223</v>
      </c>
      <c r="F62" s="191">
        <f>+F60-F61</f>
        <v>-30948.742152046696</v>
      </c>
      <c r="G62" s="191">
        <f t="shared" ref="G62:M62" si="24">+G60-G61</f>
        <v>-35168.606253669284</v>
      </c>
      <c r="H62" s="191">
        <f t="shared" si="24"/>
        <v>-40293.06212937009</v>
      </c>
      <c r="I62" s="191">
        <f t="shared" si="24"/>
        <v>-46774.405666188228</v>
      </c>
      <c r="J62" s="191">
        <f t="shared" si="24"/>
        <v>-53708.045090045482</v>
      </c>
      <c r="K62" s="191">
        <f t="shared" si="24"/>
        <v>-18225.397371874671</v>
      </c>
      <c r="L62" s="191">
        <f t="shared" si="24"/>
        <v>-27420.516230927475</v>
      </c>
      <c r="M62" s="198">
        <f t="shared" si="24"/>
        <v>-37067.930977019394</v>
      </c>
    </row>
    <row r="63" spans="1:13" x14ac:dyDescent="0.25">
      <c r="A63" s="196" t="s">
        <v>183</v>
      </c>
      <c r="B63" s="191">
        <f>+'eoq y ss'!G32*2</f>
        <v>86641.757832212563</v>
      </c>
      <c r="C63" s="191">
        <f>IF(C62&gt;C65,0,'eoq y ss'!$G$32)</f>
        <v>43320.878916106281</v>
      </c>
      <c r="D63" s="191">
        <f>IF(D62&gt;D65,0,'eoq y ss'!$G$32)</f>
        <v>43320.878916106281</v>
      </c>
      <c r="E63" s="191">
        <f>IF(E62&gt;E65,0,'eoq y ss'!$G$32)</f>
        <v>43320.878916106281</v>
      </c>
      <c r="F63" s="191">
        <f>IF(F62&gt;F65,0,'eoq y ss'!$G$32)</f>
        <v>43320.878916106281</v>
      </c>
      <c r="G63" s="191">
        <f>IF(G62&gt;G65,0,'eoq y ss'!$G$32)</f>
        <v>43320.878916106281</v>
      </c>
      <c r="H63" s="191">
        <f>IF(H62&gt;H65,0,'eoq y ss'!$G$32)</f>
        <v>43320.878916106281</v>
      </c>
      <c r="I63" s="191">
        <f>IF(I62&gt;I65,0,'eoq y ss'!$G$32)</f>
        <v>43320.878916106281</v>
      </c>
      <c r="J63" s="191">
        <f>IF(J62&gt;J65,0,'eoq y ss'!$G$32)*2</f>
        <v>86641.757832212563</v>
      </c>
      <c r="K63" s="191">
        <f>IF(K62&gt;K65,0,'eoq y ss'!$G$32)</f>
        <v>43320.878916106281</v>
      </c>
      <c r="L63" s="191">
        <f>IF(L62&gt;L65,0,'eoq y ss'!$G$32)</f>
        <v>43320.878916106281</v>
      </c>
      <c r="M63" s="198">
        <f>IF(M62&gt;M65,0,'eoq y ss'!$G$32)</f>
        <v>43320.878916106281</v>
      </c>
    </row>
    <row r="64" spans="1:13" x14ac:dyDescent="0.25">
      <c r="A64" s="199" t="s">
        <v>184</v>
      </c>
      <c r="B64" s="191">
        <f>B62+B63</f>
        <v>34909.158976832558</v>
      </c>
      <c r="C64" s="191">
        <f>C62+C63</f>
        <v>25345.558086971883</v>
      </c>
      <c r="D64" s="191">
        <f>D62+D63</f>
        <v>18550.385532109198</v>
      </c>
      <c r="E64" s="191">
        <f>E62+E63</f>
        <v>16139.704978643058</v>
      </c>
      <c r="F64" s="191">
        <f t="shared" ref="F64:M64" si="25">F62+F63</f>
        <v>12372.136764059585</v>
      </c>
      <c r="G64" s="191">
        <f t="shared" si="25"/>
        <v>8152.2726624369971</v>
      </c>
      <c r="H64" s="191">
        <f t="shared" si="25"/>
        <v>3027.8167867361917</v>
      </c>
      <c r="I64" s="191">
        <f t="shared" si="25"/>
        <v>-3453.5267500819464</v>
      </c>
      <c r="J64" s="191">
        <f t="shared" si="25"/>
        <v>32933.712742167081</v>
      </c>
      <c r="K64" s="191">
        <f t="shared" si="25"/>
        <v>25095.48154423161</v>
      </c>
      <c r="L64" s="191">
        <f t="shared" si="25"/>
        <v>15900.362685178807</v>
      </c>
      <c r="M64" s="198">
        <f t="shared" si="25"/>
        <v>6252.9479390868873</v>
      </c>
    </row>
    <row r="65" spans="1:13" ht="15.75" thickBot="1" x14ac:dyDescent="0.3">
      <c r="A65" s="200" t="s">
        <v>189</v>
      </c>
      <c r="B65" s="201">
        <f>+'eoq y ss'!$C$54</f>
        <v>26380.926849947278</v>
      </c>
      <c r="C65" s="201">
        <f>+'eoq y ss'!$C$54</f>
        <v>26380.926849947278</v>
      </c>
      <c r="D65" s="201">
        <f>+'eoq y ss'!$C$54</f>
        <v>26380.926849947278</v>
      </c>
      <c r="E65" s="201">
        <f>+'eoq y ss'!$C$54</f>
        <v>26380.926849947278</v>
      </c>
      <c r="F65" s="201">
        <f>+'eoq y ss'!$C$54</f>
        <v>26380.926849947278</v>
      </c>
      <c r="G65" s="201">
        <f>+'eoq y ss'!$C$54</f>
        <v>26380.926849947278</v>
      </c>
      <c r="H65" s="201">
        <f>+'eoq y ss'!$C$54</f>
        <v>26380.926849947278</v>
      </c>
      <c r="I65" s="201">
        <f>+'eoq y ss'!$C$54</f>
        <v>26380.926849947278</v>
      </c>
      <c r="J65" s="201">
        <f>+'eoq y ss'!$C$54</f>
        <v>26380.926849947278</v>
      </c>
      <c r="K65" s="201">
        <f>+'eoq y ss'!$C$54</f>
        <v>26380.926849947278</v>
      </c>
      <c r="L65" s="201">
        <f>+'eoq y ss'!$C$54</f>
        <v>26380.926849947278</v>
      </c>
      <c r="M65" s="202">
        <f>+'eoq y ss'!$C$54</f>
        <v>26380.926849947278</v>
      </c>
    </row>
    <row r="66" spans="1:13" ht="15.75" thickBot="1" x14ac:dyDescent="0.3">
      <c r="A66" s="49"/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82"/>
    </row>
    <row r="67" spans="1:13" ht="15.75" thickBot="1" x14ac:dyDescent="0.3"/>
    <row r="68" spans="1:13" x14ac:dyDescent="0.25">
      <c r="A68" s="81" t="s">
        <v>180</v>
      </c>
      <c r="B68" s="212">
        <v>100006</v>
      </c>
      <c r="C68" s="243" t="s">
        <v>122</v>
      </c>
      <c r="D68" s="244"/>
      <c r="E68" s="244"/>
      <c r="F68" s="244"/>
      <c r="G68" s="74"/>
      <c r="H68" s="74"/>
      <c r="I68" s="74"/>
      <c r="J68" s="74"/>
      <c r="K68" s="74"/>
      <c r="L68" s="74"/>
      <c r="M68" s="75"/>
    </row>
    <row r="69" spans="1:13" x14ac:dyDescent="0.25">
      <c r="A69" s="240" t="s">
        <v>186</v>
      </c>
      <c r="B69" s="241"/>
      <c r="C69" s="207">
        <f>+'eoq y ss'!P33</f>
        <v>45815.455271206323</v>
      </c>
      <c r="D69" s="208"/>
      <c r="E69" s="208"/>
      <c r="F69" s="208"/>
      <c r="G69" s="2"/>
      <c r="H69" s="2"/>
      <c r="I69" s="2"/>
      <c r="J69" s="2"/>
      <c r="K69" s="2"/>
      <c r="L69" s="2"/>
      <c r="M69" s="48"/>
    </row>
    <row r="70" spans="1:13" x14ac:dyDescent="0.25">
      <c r="A70" s="240" t="s">
        <v>187</v>
      </c>
      <c r="B70" s="241"/>
      <c r="C70" s="241"/>
      <c r="D70" s="14">
        <v>0</v>
      </c>
      <c r="E70" s="208"/>
      <c r="F70" s="208"/>
      <c r="G70" s="2"/>
      <c r="H70" s="2"/>
      <c r="I70" s="2"/>
      <c r="J70" s="2"/>
      <c r="K70" s="2"/>
      <c r="L70" s="2"/>
      <c r="M70" s="48"/>
    </row>
    <row r="71" spans="1:13" ht="18.75" x14ac:dyDescent="0.3">
      <c r="A71" s="46"/>
      <c r="B71" s="242" t="s">
        <v>190</v>
      </c>
      <c r="C71" s="242"/>
      <c r="D71" s="242"/>
      <c r="E71" s="242"/>
      <c r="F71" s="242"/>
      <c r="G71" s="242"/>
      <c r="H71" s="242"/>
      <c r="I71" s="242"/>
      <c r="J71" s="242"/>
      <c r="K71" s="242"/>
      <c r="L71" s="242"/>
      <c r="M71" s="209"/>
    </row>
    <row r="72" spans="1:13" ht="15.75" thickBot="1" x14ac:dyDescent="0.3">
      <c r="A72" s="210" t="s">
        <v>179</v>
      </c>
      <c r="B72" s="192">
        <v>1</v>
      </c>
      <c r="C72" s="192">
        <v>2</v>
      </c>
      <c r="D72" s="192">
        <v>3</v>
      </c>
      <c r="E72" s="192">
        <v>4</v>
      </c>
      <c r="F72" s="192">
        <v>5</v>
      </c>
      <c r="G72" s="192">
        <v>6</v>
      </c>
      <c r="H72" s="192">
        <v>7</v>
      </c>
      <c r="I72" s="192">
        <v>8</v>
      </c>
      <c r="J72" s="192">
        <v>9</v>
      </c>
      <c r="K72" s="192">
        <v>10</v>
      </c>
      <c r="L72" s="192">
        <v>11</v>
      </c>
      <c r="M72" s="211">
        <v>12</v>
      </c>
    </row>
    <row r="73" spans="1:13" x14ac:dyDescent="0.25">
      <c r="A73" s="193" t="s">
        <v>188</v>
      </c>
      <c r="B73" s="194">
        <v>0</v>
      </c>
      <c r="C73" s="194">
        <f>+B77</f>
        <v>38459.5666012652</v>
      </c>
      <c r="D73" s="194">
        <f>+C77</f>
        <v>28383.097790935608</v>
      </c>
      <c r="E73" s="194">
        <f t="shared" ref="E73:M73" si="26">+D77</f>
        <v>17483.850763927934</v>
      </c>
      <c r="F73" s="194">
        <f t="shared" si="26"/>
        <v>11643.436213115681</v>
      </c>
      <c r="G73" s="194">
        <f t="shared" si="26"/>
        <v>5297.1362769989209</v>
      </c>
      <c r="H73" s="194">
        <f t="shared" si="26"/>
        <v>-2060.9344297268253</v>
      </c>
      <c r="I73" s="194">
        <f t="shared" si="26"/>
        <v>34878.793978840244</v>
      </c>
      <c r="J73" s="194">
        <f t="shared" si="26"/>
        <v>25497.181730896496</v>
      </c>
      <c r="K73" s="194">
        <f t="shared" si="26"/>
        <v>15103.798712343734</v>
      </c>
      <c r="L73" s="194">
        <f t="shared" si="26"/>
        <v>26100.487173480637</v>
      </c>
      <c r="M73" s="195">
        <f t="shared" si="26"/>
        <v>13683.562613709873</v>
      </c>
    </row>
    <row r="74" spans="1:13" x14ac:dyDescent="0.25">
      <c r="A74" s="196" t="s">
        <v>181</v>
      </c>
      <c r="B74" s="146">
        <f>+'PRONOSTICO COLOMBINA'!K8</f>
        <v>53171.343941147446</v>
      </c>
      <c r="C74" s="146">
        <f>+'PRONOSTICO COLOMBINA'!L8</f>
        <v>55891.924081535915</v>
      </c>
      <c r="D74" s="146">
        <f>+'PRONOSTICO COLOMBINA'!M8</f>
        <v>56714.702298213997</v>
      </c>
      <c r="E74" s="146">
        <f>+'PRONOSTICO COLOMBINA'!N8</f>
        <v>51655.869822018576</v>
      </c>
      <c r="F74" s="146">
        <f>+'PRONOSTICO COLOMBINA'!O8</f>
        <v>52161.755207323084</v>
      </c>
      <c r="G74" s="146">
        <f>+'PRONOSTICO COLOMBINA'!P8</f>
        <v>53173.52597793207</v>
      </c>
      <c r="H74" s="146">
        <f>+'PRONOSTICO COLOMBINA'!Q8</f>
        <v>54691.182133845577</v>
      </c>
      <c r="I74" s="146">
        <f>+'PRONOSTICO COLOMBINA'!R8</f>
        <v>55197.06751915007</v>
      </c>
      <c r="J74" s="146">
        <f>+'PRONOSTICO COLOMBINA'!S8</f>
        <v>56208.838289759085</v>
      </c>
      <c r="K74" s="146">
        <f>+'PRONOSTICO COLOMBINA'!T8</f>
        <v>57726.494445672579</v>
      </c>
      <c r="L74" s="146">
        <f>+'PRONOSTICO COLOMBINA'!U8</f>
        <v>58232.379830977086</v>
      </c>
      <c r="M74" s="146">
        <f>+'PRONOSTICO COLOMBINA'!V8</f>
        <v>59244.150601586087</v>
      </c>
    </row>
    <row r="75" spans="1:13" x14ac:dyDescent="0.25">
      <c r="A75" s="196" t="s">
        <v>182</v>
      </c>
      <c r="B75" s="146">
        <f>+B73-B74</f>
        <v>-53171.343941147446</v>
      </c>
      <c r="C75" s="191">
        <f>+C73-C74</f>
        <v>-17432.357480270715</v>
      </c>
      <c r="D75" s="191">
        <f>+D73-D74</f>
        <v>-28331.604507278389</v>
      </c>
      <c r="E75" s="191">
        <f>+E73-E74</f>
        <v>-34172.019058090642</v>
      </c>
      <c r="F75" s="191">
        <f>+F73-F74</f>
        <v>-40518.318994207402</v>
      </c>
      <c r="G75" s="191">
        <f t="shared" ref="G75:M75" si="27">+G73-G74</f>
        <v>-47876.389700933149</v>
      </c>
      <c r="H75" s="191">
        <f t="shared" si="27"/>
        <v>-56752.116563572403</v>
      </c>
      <c r="I75" s="191">
        <f t="shared" si="27"/>
        <v>-20318.273540309827</v>
      </c>
      <c r="J75" s="191">
        <f t="shared" si="27"/>
        <v>-30711.656558862589</v>
      </c>
      <c r="K75" s="191">
        <f t="shared" si="27"/>
        <v>-42622.695733328845</v>
      </c>
      <c r="L75" s="191">
        <f t="shared" si="27"/>
        <v>-32131.89265749645</v>
      </c>
      <c r="M75" s="198">
        <f t="shared" si="27"/>
        <v>-45560.587987876213</v>
      </c>
    </row>
    <row r="76" spans="1:13" x14ac:dyDescent="0.25">
      <c r="A76" s="196" t="s">
        <v>183</v>
      </c>
      <c r="B76" s="191">
        <f>+'eoq y ss'!P33*2</f>
        <v>91630.910542412646</v>
      </c>
      <c r="C76" s="191">
        <f>IF(C75&gt;C78,0,'eoq y ss'!$P$33)</f>
        <v>45815.455271206323</v>
      </c>
      <c r="D76" s="191">
        <f>IF(D75&gt;D78,0,'eoq y ss'!$P$33)</f>
        <v>45815.455271206323</v>
      </c>
      <c r="E76" s="191">
        <f>IF(E75&gt;E78,0,'eoq y ss'!$P$33)</f>
        <v>45815.455271206323</v>
      </c>
      <c r="F76" s="191">
        <f>IF(F75&gt;F78,0,'eoq y ss'!$P$33)</f>
        <v>45815.455271206323</v>
      </c>
      <c r="G76" s="191">
        <f>IF(G75&gt;G78,0,'eoq y ss'!$P$33)</f>
        <v>45815.455271206323</v>
      </c>
      <c r="H76" s="191">
        <f>IF(H75&gt;H78,0,'eoq y ss'!$P$33)*2</f>
        <v>91630.910542412646</v>
      </c>
      <c r="I76" s="191">
        <f>IF(I75&gt;I78,0,'eoq y ss'!$P$33)</f>
        <v>45815.455271206323</v>
      </c>
      <c r="J76" s="191">
        <f>IF(J75&gt;J78,0,'eoq y ss'!$P$33)</f>
        <v>45815.455271206323</v>
      </c>
      <c r="K76" s="191">
        <f>IF(K75&gt;K78,0,'eoq y ss'!$P$33)*1.5</f>
        <v>68723.182906809481</v>
      </c>
      <c r="L76" s="191">
        <f>IF(L75&gt;L78,0,'eoq y ss'!$P$33)</f>
        <v>45815.455271206323</v>
      </c>
      <c r="M76" s="191">
        <f>IF(M75&gt;M78,0,'eoq y ss'!$P$33)</f>
        <v>45815.455271206323</v>
      </c>
    </row>
    <row r="77" spans="1:13" x14ac:dyDescent="0.25">
      <c r="A77" s="199" t="s">
        <v>184</v>
      </c>
      <c r="B77" s="191">
        <f>B75+B76</f>
        <v>38459.5666012652</v>
      </c>
      <c r="C77" s="191">
        <f>C75+C76</f>
        <v>28383.097790935608</v>
      </c>
      <c r="D77" s="191">
        <f>D75+D76</f>
        <v>17483.850763927934</v>
      </c>
      <c r="E77" s="191">
        <f>E75+E76</f>
        <v>11643.436213115681</v>
      </c>
      <c r="F77" s="191">
        <f t="shared" ref="F77:M77" si="28">F75+F76</f>
        <v>5297.1362769989209</v>
      </c>
      <c r="G77" s="191">
        <f t="shared" si="28"/>
        <v>-2060.9344297268253</v>
      </c>
      <c r="H77" s="191">
        <f t="shared" si="28"/>
        <v>34878.793978840244</v>
      </c>
      <c r="I77" s="191">
        <f t="shared" si="28"/>
        <v>25497.181730896496</v>
      </c>
      <c r="J77" s="191">
        <f t="shared" si="28"/>
        <v>15103.798712343734</v>
      </c>
      <c r="K77" s="191">
        <f t="shared" si="28"/>
        <v>26100.487173480637</v>
      </c>
      <c r="L77" s="191">
        <f t="shared" si="28"/>
        <v>13683.562613709873</v>
      </c>
      <c r="M77" s="198">
        <f t="shared" si="28"/>
        <v>254.86728333010979</v>
      </c>
    </row>
    <row r="78" spans="1:13" ht="15.75" thickBot="1" x14ac:dyDescent="0.3">
      <c r="A78" s="200" t="s">
        <v>189</v>
      </c>
      <c r="B78" s="201">
        <f>+'eoq y ss'!$L$54</f>
        <v>14576.777372971577</v>
      </c>
      <c r="C78" s="201">
        <f>+'eoq y ss'!$L$54</f>
        <v>14576.777372971577</v>
      </c>
      <c r="D78" s="201">
        <f>+'eoq y ss'!$L$54</f>
        <v>14576.777372971577</v>
      </c>
      <c r="E78" s="201">
        <f>+'eoq y ss'!$L$54</f>
        <v>14576.777372971577</v>
      </c>
      <c r="F78" s="201">
        <f>+'eoq y ss'!$L$54</f>
        <v>14576.777372971577</v>
      </c>
      <c r="G78" s="201">
        <f>+'eoq y ss'!$L$54</f>
        <v>14576.777372971577</v>
      </c>
      <c r="H78" s="201">
        <f>+'eoq y ss'!$L$54</f>
        <v>14576.777372971577</v>
      </c>
      <c r="I78" s="201">
        <f>+'eoq y ss'!$L$54</f>
        <v>14576.777372971577</v>
      </c>
      <c r="J78" s="201">
        <f>+'eoq y ss'!$L$54</f>
        <v>14576.777372971577</v>
      </c>
      <c r="K78" s="201">
        <f>+'eoq y ss'!$L$54</f>
        <v>14576.777372971577</v>
      </c>
      <c r="L78" s="201">
        <f>+'eoq y ss'!$L$54</f>
        <v>14576.777372971577</v>
      </c>
      <c r="M78" s="201">
        <f>+'eoq y ss'!$L$54</f>
        <v>14576.777372971577</v>
      </c>
    </row>
    <row r="79" spans="1:13" ht="15.75" thickBot="1" x14ac:dyDescent="0.3">
      <c r="A79" s="49"/>
      <c r="B79" s="76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82"/>
    </row>
  </sheetData>
  <mergeCells count="26">
    <mergeCell ref="C17:F17"/>
    <mergeCell ref="A1:M1"/>
    <mergeCell ref="C4:F4"/>
    <mergeCell ref="A5:B5"/>
    <mergeCell ref="A6:C6"/>
    <mergeCell ref="B7:L7"/>
    <mergeCell ref="A2:M2"/>
    <mergeCell ref="C55:F55"/>
    <mergeCell ref="A18:B18"/>
    <mergeCell ref="A19:C19"/>
    <mergeCell ref="B20:L20"/>
    <mergeCell ref="C29:F29"/>
    <mergeCell ref="A30:B30"/>
    <mergeCell ref="A31:C31"/>
    <mergeCell ref="B32:L32"/>
    <mergeCell ref="C42:F42"/>
    <mergeCell ref="A43:B43"/>
    <mergeCell ref="A44:C44"/>
    <mergeCell ref="B45:L45"/>
    <mergeCell ref="B71:L71"/>
    <mergeCell ref="A56:B56"/>
    <mergeCell ref="A57:C57"/>
    <mergeCell ref="B58:L58"/>
    <mergeCell ref="C68:F68"/>
    <mergeCell ref="A69:B69"/>
    <mergeCell ref="A70:C70"/>
  </mergeCells>
  <pageMargins left="0.7" right="0.7" top="0.75" bottom="0.75" header="0.3" footer="0.3"/>
  <ignoredErrors>
    <ignoredError sqref="J12 J25 H76 K7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LISTA MAESTRA</vt:lpstr>
      <vt:lpstr>VENTAS AÑO ANTERIOR</vt:lpstr>
      <vt:lpstr>PROYECCIONES</vt:lpstr>
      <vt:lpstr>graficos con linea de tendencia</vt:lpstr>
      <vt:lpstr>PROYECCION A 12 MESES</vt:lpstr>
      <vt:lpstr>PRONOSTICO COLOMBINA</vt:lpstr>
      <vt:lpstr>eoq y ss</vt:lpstr>
      <vt:lpstr>MPS POR TRES MESES</vt:lpstr>
      <vt:lpstr>MPS POR EL AÑO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</dc:creator>
  <cp:lastModifiedBy>USUARIO</cp:lastModifiedBy>
  <cp:lastPrinted>2012-05-04T00:01:08Z</cp:lastPrinted>
  <dcterms:created xsi:type="dcterms:W3CDTF">2012-04-19T22:27:15Z</dcterms:created>
  <dcterms:modified xsi:type="dcterms:W3CDTF">2012-05-08T00:42:35Z</dcterms:modified>
</cp:coreProperties>
</file>